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5480" windowHeight="11640"/>
  </bookViews>
  <sheets>
    <sheet name="Cover" sheetId="4" r:id="rId1"/>
    <sheet name="Definitions and Notes" sheetId="5" r:id="rId2"/>
    <sheet name="Inputs and Outputs" sheetId="1" r:id="rId3"/>
    <sheet name="ProForma" sheetId="2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C10" i="2"/>
  <c r="H21"/>
  <c r="H20"/>
  <c r="H19"/>
  <c r="H18"/>
  <c r="H16"/>
  <c r="H12"/>
  <c r="H10"/>
  <c r="H8"/>
  <c r="H7"/>
  <c r="C33"/>
  <c r="C32"/>
  <c r="C29"/>
  <c r="C31"/>
  <c r="F47" s="1"/>
  <c r="C30"/>
  <c r="C28"/>
  <c r="F144" s="1"/>
  <c r="C27"/>
  <c r="C26"/>
  <c r="C25"/>
  <c r="C22"/>
  <c r="C21"/>
  <c r="C20"/>
  <c r="C17"/>
  <c r="C16"/>
  <c r="C14"/>
  <c r="C8"/>
  <c r="C7"/>
  <c r="D13" i="1"/>
  <c r="AQ99" i="2"/>
  <c r="C102"/>
  <c r="G47"/>
  <c r="I47"/>
  <c r="K47"/>
  <c r="M47"/>
  <c r="O47"/>
  <c r="Q47"/>
  <c r="S47"/>
  <c r="U47"/>
  <c r="W47"/>
  <c r="Y47"/>
  <c r="AA47"/>
  <c r="AC47"/>
  <c r="AD47"/>
  <c r="AE47"/>
  <c r="AF47"/>
  <c r="AG47"/>
  <c r="AH47"/>
  <c r="AI47"/>
  <c r="AJ47"/>
  <c r="AK47"/>
  <c r="AL47"/>
  <c r="AM47"/>
  <c r="AN47"/>
  <c r="AO47"/>
  <c r="AP47"/>
  <c r="AQ47"/>
  <c r="D47"/>
  <c r="E47"/>
  <c r="G144"/>
  <c r="I144"/>
  <c r="K144"/>
  <c r="M144"/>
  <c r="O144"/>
  <c r="Q144"/>
  <c r="E144"/>
  <c r="R144" l="1"/>
  <c r="P144"/>
  <c r="N144"/>
  <c r="L144"/>
  <c r="J144"/>
  <c r="H144"/>
  <c r="AB47"/>
  <c r="Z47"/>
  <c r="X47"/>
  <c r="V47"/>
  <c r="T47"/>
  <c r="R47"/>
  <c r="P47"/>
  <c r="N47"/>
  <c r="L47"/>
  <c r="J47"/>
  <c r="H47"/>
  <c r="D39"/>
  <c r="E39" s="1"/>
  <c r="F39" s="1"/>
  <c r="G39" s="1"/>
  <c r="H39" s="1"/>
  <c r="I39" s="1"/>
  <c r="J39" s="1"/>
  <c r="K39" s="1"/>
  <c r="L39" s="1"/>
  <c r="M39" s="1"/>
  <c r="N39" s="1"/>
  <c r="O39" s="1"/>
  <c r="P39" s="1"/>
  <c r="Q39" s="1"/>
  <c r="R39" s="1"/>
  <c r="S39" s="1"/>
  <c r="T39" s="1"/>
  <c r="U39" s="1"/>
  <c r="V39" s="1"/>
  <c r="W39" s="1"/>
  <c r="X39" s="1"/>
  <c r="Y39" s="1"/>
  <c r="Z39" s="1"/>
  <c r="AA39" s="1"/>
  <c r="AB39" s="1"/>
  <c r="AC39" s="1"/>
  <c r="AD39" s="1"/>
  <c r="AE39" s="1"/>
  <c r="AF39" s="1"/>
  <c r="AG39" s="1"/>
  <c r="AH39" s="1"/>
  <c r="AI39" s="1"/>
  <c r="AJ39" s="1"/>
  <c r="AK39" s="1"/>
  <c r="AL39" s="1"/>
  <c r="AM39" s="1"/>
  <c r="AN39" s="1"/>
  <c r="AO39" s="1"/>
  <c r="AP39" s="1"/>
  <c r="AQ39" s="1"/>
  <c r="C73"/>
  <c r="S40"/>
  <c r="T40"/>
  <c r="U40"/>
  <c r="V40"/>
  <c r="W40"/>
  <c r="X40"/>
  <c r="Y40"/>
  <c r="Z40"/>
  <c r="AA40"/>
  <c r="AB40"/>
  <c r="H9"/>
  <c r="E27" i="1" s="1"/>
  <c r="D144" i="2"/>
  <c r="I141"/>
  <c r="H141"/>
  <c r="G141"/>
  <c r="F141"/>
  <c r="E141"/>
  <c r="D141"/>
  <c r="C121"/>
  <c r="AQ118"/>
  <c r="AP118"/>
  <c r="AO118"/>
  <c r="AN118"/>
  <c r="AM118"/>
  <c r="AL118"/>
  <c r="AK118"/>
  <c r="AJ118"/>
  <c r="AI118"/>
  <c r="AH118"/>
  <c r="AG118"/>
  <c r="AF118"/>
  <c r="AE118"/>
  <c r="AD118"/>
  <c r="AC118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AQ111"/>
  <c r="AP111"/>
  <c r="AO111"/>
  <c r="AN111"/>
  <c r="AM111"/>
  <c r="AL111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C111"/>
  <c r="C109"/>
  <c r="C105"/>
  <c r="C107" s="1"/>
  <c r="D103" s="1"/>
  <c r="H17"/>
  <c r="E34" i="1" s="1"/>
  <c r="C23" i="2" l="1"/>
  <c r="C24" l="1"/>
  <c r="E14" i="1" s="1"/>
  <c r="E13"/>
  <c r="C15" i="2"/>
  <c r="E8" i="1" s="1"/>
  <c r="C9" i="2"/>
  <c r="E4" i="1" s="1"/>
  <c r="C128" i="2"/>
  <c r="C116"/>
  <c r="H11"/>
  <c r="AN105"/>
  <c r="AJ105"/>
  <c r="AF105"/>
  <c r="AB105"/>
  <c r="X105"/>
  <c r="T105"/>
  <c r="P105"/>
  <c r="L105"/>
  <c r="H105"/>
  <c r="D105"/>
  <c r="AO105"/>
  <c r="AK105"/>
  <c r="AG105"/>
  <c r="AC105"/>
  <c r="Y105"/>
  <c r="U105"/>
  <c r="Q105"/>
  <c r="M105"/>
  <c r="I105"/>
  <c r="E105"/>
  <c r="AP105"/>
  <c r="AL105"/>
  <c r="AH105"/>
  <c r="AD105"/>
  <c r="Z105"/>
  <c r="V105"/>
  <c r="R105"/>
  <c r="N105"/>
  <c r="J105"/>
  <c r="F105"/>
  <c r="AQ105"/>
  <c r="AM105"/>
  <c r="AI105"/>
  <c r="AE105"/>
  <c r="AA105"/>
  <c r="W105"/>
  <c r="S105"/>
  <c r="O105"/>
  <c r="K105"/>
  <c r="G105"/>
  <c r="B23"/>
  <c r="C77"/>
  <c r="AN81"/>
  <c r="AJ81"/>
  <c r="AF81"/>
  <c r="AB81"/>
  <c r="X81"/>
  <c r="T81"/>
  <c r="P81"/>
  <c r="L81"/>
  <c r="H81"/>
  <c r="D81"/>
  <c r="AP72"/>
  <c r="AL72"/>
  <c r="AH72"/>
  <c r="AD72"/>
  <c r="Z72"/>
  <c r="V72"/>
  <c r="R72"/>
  <c r="N72"/>
  <c r="J72"/>
  <c r="F72"/>
  <c r="AO81"/>
  <c r="AK81"/>
  <c r="AG81"/>
  <c r="AC81"/>
  <c r="Y81"/>
  <c r="U81"/>
  <c r="Q81"/>
  <c r="M81"/>
  <c r="I81"/>
  <c r="E81"/>
  <c r="AQ72"/>
  <c r="AM72"/>
  <c r="AI72"/>
  <c r="AE72"/>
  <c r="AA72"/>
  <c r="W72"/>
  <c r="S72"/>
  <c r="O72"/>
  <c r="K72"/>
  <c r="G72"/>
  <c r="AP81"/>
  <c r="AL81"/>
  <c r="AH81"/>
  <c r="AD81"/>
  <c r="Z81"/>
  <c r="V81"/>
  <c r="R81"/>
  <c r="N81"/>
  <c r="J81"/>
  <c r="F81"/>
  <c r="AN72"/>
  <c r="AJ72"/>
  <c r="AF72"/>
  <c r="AB72"/>
  <c r="X72"/>
  <c r="T72"/>
  <c r="P72"/>
  <c r="L72"/>
  <c r="H72"/>
  <c r="D72"/>
  <c r="AQ81"/>
  <c r="AM81"/>
  <c r="AI81"/>
  <c r="AE81"/>
  <c r="AA81"/>
  <c r="W81"/>
  <c r="S81"/>
  <c r="O81"/>
  <c r="K81"/>
  <c r="G81"/>
  <c r="AO72"/>
  <c r="AK72"/>
  <c r="AG72"/>
  <c r="AC72"/>
  <c r="Y72"/>
  <c r="U72"/>
  <c r="Q72"/>
  <c r="M72"/>
  <c r="I72"/>
  <c r="E72"/>
  <c r="AN106"/>
  <c r="AJ106"/>
  <c r="AF106"/>
  <c r="X106"/>
  <c r="T106"/>
  <c r="P106"/>
  <c r="L106"/>
  <c r="H106"/>
  <c r="D106"/>
  <c r="AO106"/>
  <c r="AK106"/>
  <c r="AG106"/>
  <c r="AC106"/>
  <c r="Y106"/>
  <c r="U106"/>
  <c r="Q106"/>
  <c r="M106"/>
  <c r="I106"/>
  <c r="E106"/>
  <c r="AP106"/>
  <c r="AL106"/>
  <c r="AH106"/>
  <c r="AD106"/>
  <c r="Z106"/>
  <c r="V106"/>
  <c r="R106"/>
  <c r="N106"/>
  <c r="J106"/>
  <c r="F106"/>
  <c r="AM106"/>
  <c r="AI106"/>
  <c r="AE106"/>
  <c r="AA106"/>
  <c r="W106"/>
  <c r="S106"/>
  <c r="O106"/>
  <c r="K106"/>
  <c r="G106"/>
  <c r="AN46"/>
  <c r="AJ46"/>
  <c r="AF46"/>
  <c r="AB46"/>
  <c r="X46"/>
  <c r="T46"/>
  <c r="AO46"/>
  <c r="AK46"/>
  <c r="AG46"/>
  <c r="AC46"/>
  <c r="Y46"/>
  <c r="U46"/>
  <c r="Q46"/>
  <c r="M46"/>
  <c r="I46"/>
  <c r="AP46"/>
  <c r="AL46"/>
  <c r="AH46"/>
  <c r="AD46"/>
  <c r="Z46"/>
  <c r="V46"/>
  <c r="R46"/>
  <c r="N46"/>
  <c r="J46"/>
  <c r="AQ46"/>
  <c r="AM46"/>
  <c r="AI46"/>
  <c r="AE46"/>
  <c r="AA46"/>
  <c r="W46"/>
  <c r="S46"/>
  <c r="O46"/>
  <c r="K46"/>
  <c r="G46"/>
  <c r="H46"/>
  <c r="AQ44"/>
  <c r="AM44"/>
  <c r="AI44"/>
  <c r="AE44"/>
  <c r="AA44"/>
  <c r="W44"/>
  <c r="S44"/>
  <c r="O44"/>
  <c r="K44"/>
  <c r="G44"/>
  <c r="AK44"/>
  <c r="Y44"/>
  <c r="Q44"/>
  <c r="E44"/>
  <c r="L46"/>
  <c r="D46"/>
  <c r="AN44"/>
  <c r="AJ44"/>
  <c r="AF44"/>
  <c r="AB44"/>
  <c r="X44"/>
  <c r="T44"/>
  <c r="P44"/>
  <c r="L44"/>
  <c r="H44"/>
  <c r="D44"/>
  <c r="AG44"/>
  <c r="U44"/>
  <c r="M44"/>
  <c r="P46"/>
  <c r="E46"/>
  <c r="AO44"/>
  <c r="AC44"/>
  <c r="I44"/>
  <c r="F46"/>
  <c r="AP44"/>
  <c r="AL44"/>
  <c r="AH44"/>
  <c r="AD44"/>
  <c r="Z44"/>
  <c r="V44"/>
  <c r="R44"/>
  <c r="N44"/>
  <c r="J44"/>
  <c r="F44"/>
  <c r="C82" l="1"/>
  <c r="E28" i="1"/>
  <c r="D37" i="2"/>
  <c r="D145" s="1"/>
  <c r="AQ83"/>
  <c r="AM83"/>
  <c r="AI83"/>
  <c r="AE83"/>
  <c r="AA83"/>
  <c r="W83"/>
  <c r="S83"/>
  <c r="O83"/>
  <c r="K83"/>
  <c r="G83"/>
  <c r="AN83"/>
  <c r="AJ83"/>
  <c r="AF83"/>
  <c r="AB83"/>
  <c r="X83"/>
  <c r="T83"/>
  <c r="P83"/>
  <c r="L83"/>
  <c r="H83"/>
  <c r="D83"/>
  <c r="AO83"/>
  <c r="AK83"/>
  <c r="AG83"/>
  <c r="AC83"/>
  <c r="Y83"/>
  <c r="U83"/>
  <c r="Q83"/>
  <c r="M83"/>
  <c r="I83"/>
  <c r="E83"/>
  <c r="AP83"/>
  <c r="AL83"/>
  <c r="AH83"/>
  <c r="AD83"/>
  <c r="Z83"/>
  <c r="V83"/>
  <c r="R83"/>
  <c r="N83"/>
  <c r="J83"/>
  <c r="F83"/>
  <c r="C87"/>
  <c r="AO74"/>
  <c r="AK74"/>
  <c r="AG74"/>
  <c r="AC74"/>
  <c r="Y74"/>
  <c r="U74"/>
  <c r="Q74"/>
  <c r="M74"/>
  <c r="I74"/>
  <c r="E74"/>
  <c r="AP74"/>
  <c r="AL74"/>
  <c r="AH74"/>
  <c r="AD74"/>
  <c r="Z74"/>
  <c r="V74"/>
  <c r="R74"/>
  <c r="N74"/>
  <c r="J74"/>
  <c r="F74"/>
  <c r="AQ74"/>
  <c r="AM74"/>
  <c r="AI74"/>
  <c r="AE74"/>
  <c r="AA74"/>
  <c r="W74"/>
  <c r="S74"/>
  <c r="O74"/>
  <c r="K74"/>
  <c r="G74"/>
  <c r="AN74"/>
  <c r="AJ74"/>
  <c r="AF74"/>
  <c r="AB74"/>
  <c r="X74"/>
  <c r="T74"/>
  <c r="P74"/>
  <c r="L74"/>
  <c r="H74"/>
  <c r="D74"/>
  <c r="AQ98"/>
  <c r="AQ53" s="1"/>
  <c r="AM98"/>
  <c r="AM53" s="1"/>
  <c r="AI98"/>
  <c r="AI53" s="1"/>
  <c r="AQ95"/>
  <c r="AM95"/>
  <c r="AI95"/>
  <c r="AN98"/>
  <c r="AN53" s="1"/>
  <c r="AJ98"/>
  <c r="AJ53" s="1"/>
  <c r="AN95"/>
  <c r="AJ95"/>
  <c r="AO98"/>
  <c r="AO53" s="1"/>
  <c r="AK98"/>
  <c r="AK53" s="1"/>
  <c r="AO95"/>
  <c r="AK95"/>
  <c r="AP98"/>
  <c r="AP53" s="1"/>
  <c r="AL98"/>
  <c r="AL53" s="1"/>
  <c r="AH98"/>
  <c r="AH53" s="1"/>
  <c r="AP95"/>
  <c r="AL95"/>
  <c r="AH95"/>
  <c r="H22"/>
  <c r="E35" i="1" s="1"/>
  <c r="AO104" i="2"/>
  <c r="AK104"/>
  <c r="AG104"/>
  <c r="AC104"/>
  <c r="Y104"/>
  <c r="U104"/>
  <c r="Q104"/>
  <c r="M104"/>
  <c r="I104"/>
  <c r="E104"/>
  <c r="AP104"/>
  <c r="AL104"/>
  <c r="AH104"/>
  <c r="AD104"/>
  <c r="Z104"/>
  <c r="V104"/>
  <c r="R104"/>
  <c r="N104"/>
  <c r="J104"/>
  <c r="F104"/>
  <c r="AQ104"/>
  <c r="AM104"/>
  <c r="AI104"/>
  <c r="AE104"/>
  <c r="AA104"/>
  <c r="W104"/>
  <c r="S104"/>
  <c r="O104"/>
  <c r="K104"/>
  <c r="G104"/>
  <c r="AN104"/>
  <c r="AJ104"/>
  <c r="AF104"/>
  <c r="AB104"/>
  <c r="X104"/>
  <c r="T104"/>
  <c r="P104"/>
  <c r="L104"/>
  <c r="H104"/>
  <c r="D104"/>
  <c r="D146" l="1"/>
  <c r="D40" s="1"/>
  <c r="E37"/>
  <c r="E145" s="1"/>
  <c r="AQ93"/>
  <c r="AQ113"/>
  <c r="AP113"/>
  <c r="AP93"/>
  <c r="AO113"/>
  <c r="AO93"/>
  <c r="AN113"/>
  <c r="AN93"/>
  <c r="AM93"/>
  <c r="AM113"/>
  <c r="C120"/>
  <c r="C122" s="1"/>
  <c r="D119" s="1"/>
  <c r="AN54"/>
  <c r="AJ54"/>
  <c r="AF54"/>
  <c r="AB54"/>
  <c r="X54"/>
  <c r="T54"/>
  <c r="P54"/>
  <c r="L54"/>
  <c r="H54"/>
  <c r="D54"/>
  <c r="AO54"/>
  <c r="AK54"/>
  <c r="AG54"/>
  <c r="AC54"/>
  <c r="Y54"/>
  <c r="U54"/>
  <c r="Q54"/>
  <c r="M54"/>
  <c r="I54"/>
  <c r="E54"/>
  <c r="AP54"/>
  <c r="AL54"/>
  <c r="AH54"/>
  <c r="AD54"/>
  <c r="Z54"/>
  <c r="V54"/>
  <c r="R54"/>
  <c r="N54"/>
  <c r="J54"/>
  <c r="F54"/>
  <c r="AQ54"/>
  <c r="AM54"/>
  <c r="AI54"/>
  <c r="AE54"/>
  <c r="AA54"/>
  <c r="W54"/>
  <c r="S54"/>
  <c r="O54"/>
  <c r="K54"/>
  <c r="G54"/>
  <c r="E5" i="1"/>
  <c r="AL113" i="2"/>
  <c r="AL93"/>
  <c r="AK113"/>
  <c r="AK93"/>
  <c r="AJ113"/>
  <c r="AJ93"/>
  <c r="AI93"/>
  <c r="AI113"/>
  <c r="D107"/>
  <c r="E103" s="1"/>
  <c r="E107" s="1"/>
  <c r="F103" s="1"/>
  <c r="F107" s="1"/>
  <c r="G103" s="1"/>
  <c r="G107" s="1"/>
  <c r="H103" s="1"/>
  <c r="H107" s="1"/>
  <c r="I103" s="1"/>
  <c r="I107" s="1"/>
  <c r="J103" s="1"/>
  <c r="J107" s="1"/>
  <c r="K103" s="1"/>
  <c r="K107" s="1"/>
  <c r="L103" s="1"/>
  <c r="L107" s="1"/>
  <c r="M103" s="1"/>
  <c r="M107" s="1"/>
  <c r="N103" s="1"/>
  <c r="N107" s="1"/>
  <c r="O103" s="1"/>
  <c r="O107" s="1"/>
  <c r="P103" s="1"/>
  <c r="P107" s="1"/>
  <c r="Q103" s="1"/>
  <c r="Q107" s="1"/>
  <c r="R103" s="1"/>
  <c r="R107" s="1"/>
  <c r="S103" s="1"/>
  <c r="S107" s="1"/>
  <c r="T103" s="1"/>
  <c r="T107" s="1"/>
  <c r="U103" s="1"/>
  <c r="U107" s="1"/>
  <c r="V103" s="1"/>
  <c r="V107" s="1"/>
  <c r="W103" s="1"/>
  <c r="W107" s="1"/>
  <c r="X103" s="1"/>
  <c r="X107" s="1"/>
  <c r="Y103" s="1"/>
  <c r="Y107" s="1"/>
  <c r="Z103" s="1"/>
  <c r="Z107" s="1"/>
  <c r="AA103" s="1"/>
  <c r="AA107" s="1"/>
  <c r="AB103" s="1"/>
  <c r="C108"/>
  <c r="C123"/>
  <c r="C124" s="1"/>
  <c r="AH113"/>
  <c r="AH93"/>
  <c r="E146" l="1"/>
  <c r="F37"/>
  <c r="F145" s="1"/>
  <c r="F109"/>
  <c r="F45" s="1"/>
  <c r="F48" s="1"/>
  <c r="T109"/>
  <c r="T45" s="1"/>
  <c r="T48" s="1"/>
  <c r="V109"/>
  <c r="V45" s="1"/>
  <c r="V48" s="1"/>
  <c r="AB106"/>
  <c r="AB109" s="1"/>
  <c r="AB45" s="1"/>
  <c r="AB48" s="1"/>
  <c r="K120"/>
  <c r="K121"/>
  <c r="AA120"/>
  <c r="AA121"/>
  <c r="AQ120"/>
  <c r="AQ121"/>
  <c r="R121"/>
  <c r="R120"/>
  <c r="AH121"/>
  <c r="AH120"/>
  <c r="I120"/>
  <c r="I121"/>
  <c r="Y120"/>
  <c r="Y121"/>
  <c r="AO120"/>
  <c r="AO121"/>
  <c r="P120"/>
  <c r="P121"/>
  <c r="AF120"/>
  <c r="AF121"/>
  <c r="M109"/>
  <c r="M45" s="1"/>
  <c r="M48" s="1"/>
  <c r="S109"/>
  <c r="S45" s="1"/>
  <c r="S48" s="1"/>
  <c r="N109"/>
  <c r="N45" s="1"/>
  <c r="N48" s="1"/>
  <c r="K109"/>
  <c r="K45" s="1"/>
  <c r="K48" s="1"/>
  <c r="G120"/>
  <c r="G121"/>
  <c r="W120"/>
  <c r="W121"/>
  <c r="AM120"/>
  <c r="AM121"/>
  <c r="N121"/>
  <c r="N120"/>
  <c r="AD121"/>
  <c r="AD120"/>
  <c r="E120"/>
  <c r="E121"/>
  <c r="U120"/>
  <c r="U121"/>
  <c r="AK120"/>
  <c r="AK121"/>
  <c r="L120"/>
  <c r="L121"/>
  <c r="AB120"/>
  <c r="AB121"/>
  <c r="D124"/>
  <c r="D55" s="1"/>
  <c r="Q109"/>
  <c r="Q45" s="1"/>
  <c r="Q48" s="1"/>
  <c r="H109"/>
  <c r="H45" s="1"/>
  <c r="H48" s="1"/>
  <c r="G109"/>
  <c r="G45" s="1"/>
  <c r="G48" s="1"/>
  <c r="I109"/>
  <c r="I45" s="1"/>
  <c r="I48" s="1"/>
  <c r="AA109"/>
  <c r="AA45" s="1"/>
  <c r="AA48" s="1"/>
  <c r="H25"/>
  <c r="H26"/>
  <c r="E37" i="1" s="1"/>
  <c r="D88" i="2"/>
  <c r="S120"/>
  <c r="S121"/>
  <c r="AI120"/>
  <c r="AI121"/>
  <c r="J121"/>
  <c r="J120"/>
  <c r="Z121"/>
  <c r="Z120"/>
  <c r="AP121"/>
  <c r="AP120"/>
  <c r="Q120"/>
  <c r="Q121"/>
  <c r="AG120"/>
  <c r="AG121"/>
  <c r="H120"/>
  <c r="H121"/>
  <c r="X120"/>
  <c r="X121"/>
  <c r="AN120"/>
  <c r="AN121"/>
  <c r="J109"/>
  <c r="J45" s="1"/>
  <c r="J48" s="1"/>
  <c r="X109"/>
  <c r="X45" s="1"/>
  <c r="X48" s="1"/>
  <c r="E109"/>
  <c r="E45" s="1"/>
  <c r="E48" s="1"/>
  <c r="W109"/>
  <c r="W45" s="1"/>
  <c r="W48" s="1"/>
  <c r="Y109"/>
  <c r="Y45" s="1"/>
  <c r="Y48" s="1"/>
  <c r="P109"/>
  <c r="P45" s="1"/>
  <c r="P48" s="1"/>
  <c r="O120"/>
  <c r="O121"/>
  <c r="AE120"/>
  <c r="AE121"/>
  <c r="F121"/>
  <c r="F120"/>
  <c r="V121"/>
  <c r="V120"/>
  <c r="AL121"/>
  <c r="AL120"/>
  <c r="M120"/>
  <c r="M121"/>
  <c r="AC120"/>
  <c r="AC121"/>
  <c r="D120"/>
  <c r="D121"/>
  <c r="T120"/>
  <c r="T121"/>
  <c r="AJ120"/>
  <c r="AJ121"/>
  <c r="O109"/>
  <c r="O45" s="1"/>
  <c r="O48" s="1"/>
  <c r="D109"/>
  <c r="D45" s="1"/>
  <c r="D48" s="1"/>
  <c r="Z109"/>
  <c r="Z45" s="1"/>
  <c r="Z48" s="1"/>
  <c r="U109"/>
  <c r="U45" s="1"/>
  <c r="U48" s="1"/>
  <c r="L109"/>
  <c r="L45" s="1"/>
  <c r="L48" s="1"/>
  <c r="R109"/>
  <c r="R45" s="1"/>
  <c r="R48" s="1"/>
  <c r="C63" l="1"/>
  <c r="C65" s="1"/>
  <c r="E36" i="1"/>
  <c r="E40" i="2"/>
  <c r="F146"/>
  <c r="G37"/>
  <c r="G145" s="1"/>
  <c r="AE95"/>
  <c r="AB95"/>
  <c r="AC95"/>
  <c r="AD95"/>
  <c r="AA95"/>
  <c r="AF95"/>
  <c r="X95"/>
  <c r="AG95"/>
  <c r="Y95"/>
  <c r="Z95"/>
  <c r="V95"/>
  <c r="W95"/>
  <c r="D122"/>
  <c r="E119" s="1"/>
  <c r="E124" s="1"/>
  <c r="E55" s="1"/>
  <c r="AB107"/>
  <c r="AC103" s="1"/>
  <c r="AC109" s="1"/>
  <c r="AC45" s="1"/>
  <c r="AC48" s="1"/>
  <c r="O95"/>
  <c r="P95"/>
  <c r="Q95"/>
  <c r="R95"/>
  <c r="S95"/>
  <c r="C99"/>
  <c r="D94" s="1"/>
  <c r="T95"/>
  <c r="D95"/>
  <c r="U95"/>
  <c r="E95"/>
  <c r="F95"/>
  <c r="G95"/>
  <c r="H95"/>
  <c r="I95"/>
  <c r="J95"/>
  <c r="K95"/>
  <c r="L95"/>
  <c r="M95"/>
  <c r="N95"/>
  <c r="F40" l="1"/>
  <c r="G146"/>
  <c r="H37"/>
  <c r="H145" s="1"/>
  <c r="Y93"/>
  <c r="X93"/>
  <c r="AA93"/>
  <c r="AC93"/>
  <c r="AE93"/>
  <c r="Z93"/>
  <c r="AG93"/>
  <c r="AF93"/>
  <c r="AD93"/>
  <c r="AB93"/>
  <c r="V93"/>
  <c r="W93"/>
  <c r="AC107"/>
  <c r="AD103" s="1"/>
  <c r="AD109" s="1"/>
  <c r="AD45" s="1"/>
  <c r="AD48" s="1"/>
  <c r="E122"/>
  <c r="F119" s="1"/>
  <c r="F122" s="1"/>
  <c r="G119" s="1"/>
  <c r="M93"/>
  <c r="I93"/>
  <c r="E93"/>
  <c r="D96"/>
  <c r="D52" s="1"/>
  <c r="P93"/>
  <c r="N93"/>
  <c r="J93"/>
  <c r="F93"/>
  <c r="T93"/>
  <c r="Q93"/>
  <c r="K93"/>
  <c r="G93"/>
  <c r="D93"/>
  <c r="R93"/>
  <c r="L93"/>
  <c r="H93"/>
  <c r="U93"/>
  <c r="S93"/>
  <c r="O93"/>
  <c r="G40" l="1"/>
  <c r="H146"/>
  <c r="I37"/>
  <c r="I145" s="1"/>
  <c r="AD107"/>
  <c r="AE103" s="1"/>
  <c r="AE107" s="1"/>
  <c r="AF103" s="1"/>
  <c r="F124"/>
  <c r="F55" s="1"/>
  <c r="G124"/>
  <c r="G55" s="1"/>
  <c r="G122"/>
  <c r="H119" s="1"/>
  <c r="D84"/>
  <c r="D75"/>
  <c r="D98"/>
  <c r="H40" l="1"/>
  <c r="I146"/>
  <c r="J37"/>
  <c r="J145" s="1"/>
  <c r="AE109"/>
  <c r="AE45" s="1"/>
  <c r="AE48" s="1"/>
  <c r="H124"/>
  <c r="H55" s="1"/>
  <c r="H122"/>
  <c r="I119" s="1"/>
  <c r="AF107"/>
  <c r="AG103" s="1"/>
  <c r="AF109"/>
  <c r="AF45" s="1"/>
  <c r="AF48" s="1"/>
  <c r="D53"/>
  <c r="D56" s="1"/>
  <c r="D99"/>
  <c r="E94" s="1"/>
  <c r="I40" l="1"/>
  <c r="J146"/>
  <c r="K37"/>
  <c r="K145" s="1"/>
  <c r="E96"/>
  <c r="AG107"/>
  <c r="AH103" s="1"/>
  <c r="AG109"/>
  <c r="AG45" s="1"/>
  <c r="AG48" s="1"/>
  <c r="I122"/>
  <c r="J119" s="1"/>
  <c r="I124"/>
  <c r="I55" s="1"/>
  <c r="J40" l="1"/>
  <c r="K146"/>
  <c r="L37"/>
  <c r="L145" s="1"/>
  <c r="AH107"/>
  <c r="AI103" s="1"/>
  <c r="AH109"/>
  <c r="AH45" s="1"/>
  <c r="AH48" s="1"/>
  <c r="E52"/>
  <c r="E98"/>
  <c r="J122"/>
  <c r="K119" s="1"/>
  <c r="J124"/>
  <c r="J55" s="1"/>
  <c r="K40" l="1"/>
  <c r="L146"/>
  <c r="M37"/>
  <c r="M145" s="1"/>
  <c r="K124"/>
  <c r="K55" s="1"/>
  <c r="K122"/>
  <c r="L119" s="1"/>
  <c r="AI107"/>
  <c r="AJ103" s="1"/>
  <c r="AI109"/>
  <c r="AI45" s="1"/>
  <c r="AI48" s="1"/>
  <c r="E75"/>
  <c r="E84"/>
  <c r="E53"/>
  <c r="E56" s="1"/>
  <c r="E99"/>
  <c r="F94" s="1"/>
  <c r="L40" l="1"/>
  <c r="M146"/>
  <c r="N37"/>
  <c r="N145" s="1"/>
  <c r="L124"/>
  <c r="L55" s="1"/>
  <c r="L122"/>
  <c r="M119" s="1"/>
  <c r="AJ107"/>
  <c r="AK103" s="1"/>
  <c r="AJ109"/>
  <c r="AJ45" s="1"/>
  <c r="AJ48" s="1"/>
  <c r="F96"/>
  <c r="M40" l="1"/>
  <c r="N146"/>
  <c r="O37"/>
  <c r="O145" s="1"/>
  <c r="F52"/>
  <c r="F98"/>
  <c r="M122"/>
  <c r="N119" s="1"/>
  <c r="M124"/>
  <c r="M55" s="1"/>
  <c r="AK107"/>
  <c r="AL103" s="1"/>
  <c r="AK109"/>
  <c r="AK45" s="1"/>
  <c r="AK48" s="1"/>
  <c r="N40" l="1"/>
  <c r="O146"/>
  <c r="P37"/>
  <c r="P145" s="1"/>
  <c r="F75"/>
  <c r="F84"/>
  <c r="AL107"/>
  <c r="AM103" s="1"/>
  <c r="AL109"/>
  <c r="AL45" s="1"/>
  <c r="AL48" s="1"/>
  <c r="F53"/>
  <c r="F56" s="1"/>
  <c r="F99"/>
  <c r="G94" s="1"/>
  <c r="N122"/>
  <c r="O119" s="1"/>
  <c r="N124"/>
  <c r="N55" s="1"/>
  <c r="O40" l="1"/>
  <c r="P146"/>
  <c r="Q37"/>
  <c r="Q145" s="1"/>
  <c r="O124"/>
  <c r="O55" s="1"/>
  <c r="O122"/>
  <c r="P119" s="1"/>
  <c r="G96"/>
  <c r="AM107"/>
  <c r="AN103" s="1"/>
  <c r="AM109"/>
  <c r="AM45" s="1"/>
  <c r="AM48" s="1"/>
  <c r="P40" l="1"/>
  <c r="Q146"/>
  <c r="R37"/>
  <c r="R145" s="1"/>
  <c r="AN107"/>
  <c r="AO103" s="1"/>
  <c r="AN109"/>
  <c r="AN45" s="1"/>
  <c r="AN48" s="1"/>
  <c r="P124"/>
  <c r="P55" s="1"/>
  <c r="P122"/>
  <c r="Q119" s="1"/>
  <c r="G52"/>
  <c r="G98"/>
  <c r="Q40" l="1"/>
  <c r="R146"/>
  <c r="S37"/>
  <c r="T37" s="1"/>
  <c r="U37" s="1"/>
  <c r="V37" s="1"/>
  <c r="AO107"/>
  <c r="AP103" s="1"/>
  <c r="AO109"/>
  <c r="AO45" s="1"/>
  <c r="AO48" s="1"/>
  <c r="G53"/>
  <c r="G56" s="1"/>
  <c r="G99"/>
  <c r="H94" s="1"/>
  <c r="Q122"/>
  <c r="R119" s="1"/>
  <c r="Q124"/>
  <c r="Q55" s="1"/>
  <c r="G84"/>
  <c r="G75"/>
  <c r="R40" l="1"/>
  <c r="H96"/>
  <c r="C127" s="1"/>
  <c r="C129" s="1"/>
  <c r="W37"/>
  <c r="AP107"/>
  <c r="AQ103" s="1"/>
  <c r="AQ106" s="1"/>
  <c r="AP109"/>
  <c r="AP45" s="1"/>
  <c r="AP48" s="1"/>
  <c r="R122"/>
  <c r="S119" s="1"/>
  <c r="R124"/>
  <c r="R55" s="1"/>
  <c r="H52" l="1"/>
  <c r="H98"/>
  <c r="AQ107"/>
  <c r="AQ109"/>
  <c r="AQ45" s="1"/>
  <c r="AQ48" s="1"/>
  <c r="S124"/>
  <c r="S55" s="1"/>
  <c r="S122"/>
  <c r="T119" s="1"/>
  <c r="X37"/>
  <c r="T124" l="1"/>
  <c r="T55" s="1"/>
  <c r="T122"/>
  <c r="U119" s="1"/>
  <c r="H84"/>
  <c r="H75"/>
  <c r="H53"/>
  <c r="H56" s="1"/>
  <c r="H99"/>
  <c r="I94" s="1"/>
  <c r="Y37"/>
  <c r="I96" l="1"/>
  <c r="U122"/>
  <c r="V119" s="1"/>
  <c r="U124"/>
  <c r="U55" s="1"/>
  <c r="Z37"/>
  <c r="I52" l="1"/>
  <c r="I98"/>
  <c r="V122"/>
  <c r="W119" s="1"/>
  <c r="V124"/>
  <c r="V55" s="1"/>
  <c r="AA37"/>
  <c r="AB37" s="1"/>
  <c r="AC37" s="1"/>
  <c r="AD37" s="1"/>
  <c r="AE37" s="1"/>
  <c r="AF37" s="1"/>
  <c r="AG37" s="1"/>
  <c r="AH37" s="1"/>
  <c r="AI37" s="1"/>
  <c r="AJ37" s="1"/>
  <c r="AK37" s="1"/>
  <c r="AL37" s="1"/>
  <c r="AM37" s="1"/>
  <c r="AN37" s="1"/>
  <c r="AO37" s="1"/>
  <c r="AP37" s="1"/>
  <c r="AQ37" s="1"/>
  <c r="I75" l="1"/>
  <c r="I84"/>
  <c r="I53"/>
  <c r="I56" s="1"/>
  <c r="I99"/>
  <c r="J94" s="1"/>
  <c r="W124"/>
  <c r="W55" s="1"/>
  <c r="W122"/>
  <c r="X119" s="1"/>
  <c r="J96" l="1"/>
  <c r="X124"/>
  <c r="X55" s="1"/>
  <c r="X122"/>
  <c r="Y119" s="1"/>
  <c r="J52" l="1"/>
  <c r="J98"/>
  <c r="Y122"/>
  <c r="Z119" s="1"/>
  <c r="Y124"/>
  <c r="Y55" s="1"/>
  <c r="J75" l="1"/>
  <c r="J84"/>
  <c r="Z122"/>
  <c r="AA119" s="1"/>
  <c r="Z124"/>
  <c r="Z55" s="1"/>
  <c r="J53"/>
  <c r="J56" s="1"/>
  <c r="J99"/>
  <c r="K94" s="1"/>
  <c r="K96" l="1"/>
  <c r="AA124"/>
  <c r="AA55" s="1"/>
  <c r="AA122"/>
  <c r="AB119" s="1"/>
  <c r="K52" l="1"/>
  <c r="K98"/>
  <c r="AB124"/>
  <c r="AB55" s="1"/>
  <c r="AB122"/>
  <c r="AC119" s="1"/>
  <c r="K84" l="1"/>
  <c r="K75"/>
  <c r="K53"/>
  <c r="K56" s="1"/>
  <c r="K99"/>
  <c r="L94" s="1"/>
  <c r="AC122"/>
  <c r="AD119" s="1"/>
  <c r="AC124"/>
  <c r="AC55" s="1"/>
  <c r="L96" l="1"/>
  <c r="AD122"/>
  <c r="AE119" s="1"/>
  <c r="AD124"/>
  <c r="AD55" s="1"/>
  <c r="AE124" l="1"/>
  <c r="AE55" s="1"/>
  <c r="AE122"/>
  <c r="AF119" s="1"/>
  <c r="L52"/>
  <c r="L98"/>
  <c r="AF124" l="1"/>
  <c r="AF55" s="1"/>
  <c r="AF122"/>
  <c r="AG119" s="1"/>
  <c r="L53"/>
  <c r="L56" s="1"/>
  <c r="L99"/>
  <c r="M94" s="1"/>
  <c r="L84"/>
  <c r="L75"/>
  <c r="AG122" l="1"/>
  <c r="AH119" s="1"/>
  <c r="AG124"/>
  <c r="AG55" s="1"/>
  <c r="M96"/>
  <c r="AH122" l="1"/>
  <c r="AI119" s="1"/>
  <c r="AH124"/>
  <c r="AH55" s="1"/>
  <c r="M52"/>
  <c r="M98"/>
  <c r="AI124" l="1"/>
  <c r="AI55" s="1"/>
  <c r="AI122"/>
  <c r="AJ119" s="1"/>
  <c r="M75"/>
  <c r="M84"/>
  <c r="M53"/>
  <c r="M56" s="1"/>
  <c r="M99"/>
  <c r="N94" s="1"/>
  <c r="AJ124" l="1"/>
  <c r="AJ55" s="1"/>
  <c r="AJ122"/>
  <c r="AK119" s="1"/>
  <c r="N96"/>
  <c r="AK122" l="1"/>
  <c r="AL119" s="1"/>
  <c r="AK124"/>
  <c r="AK55" s="1"/>
  <c r="N52"/>
  <c r="N98"/>
  <c r="N53" l="1"/>
  <c r="N56" s="1"/>
  <c r="N99"/>
  <c r="O94" s="1"/>
  <c r="N75"/>
  <c r="N84"/>
  <c r="AL122"/>
  <c r="AM119" s="1"/>
  <c r="AL124"/>
  <c r="AL55" s="1"/>
  <c r="O96" l="1"/>
  <c r="AM124"/>
  <c r="AM55" s="1"/>
  <c r="AM122"/>
  <c r="AN119" s="1"/>
  <c r="O52" l="1"/>
  <c r="O98"/>
  <c r="AN124"/>
  <c r="AN55" s="1"/>
  <c r="AN122"/>
  <c r="AO119" s="1"/>
  <c r="O53" l="1"/>
  <c r="O56" s="1"/>
  <c r="O99"/>
  <c r="P94" s="1"/>
  <c r="AO122"/>
  <c r="AP119" s="1"/>
  <c r="AO124"/>
  <c r="AO55" s="1"/>
  <c r="O84"/>
  <c r="O75"/>
  <c r="P96" l="1"/>
  <c r="AP122"/>
  <c r="AQ119" s="1"/>
  <c r="AP124"/>
  <c r="AP55" s="1"/>
  <c r="P52" l="1"/>
  <c r="P98"/>
  <c r="AQ124"/>
  <c r="AQ55" s="1"/>
  <c r="AQ122"/>
  <c r="P84" l="1"/>
  <c r="P75"/>
  <c r="P53"/>
  <c r="P56" s="1"/>
  <c r="P99"/>
  <c r="Q94" s="1"/>
  <c r="Q96" l="1"/>
  <c r="Q52" l="1"/>
  <c r="Q98"/>
  <c r="Q75" l="1"/>
  <c r="Q84"/>
  <c r="Q53"/>
  <c r="Q56" s="1"/>
  <c r="Q99"/>
  <c r="R94" s="1"/>
  <c r="R96" l="1"/>
  <c r="R52" l="1"/>
  <c r="R98"/>
  <c r="R75" l="1"/>
  <c r="R84"/>
  <c r="R53"/>
  <c r="R56" s="1"/>
  <c r="R99"/>
  <c r="S94" s="1"/>
  <c r="S96" l="1"/>
  <c r="S52" l="1"/>
  <c r="S98"/>
  <c r="S84" l="1"/>
  <c r="S75"/>
  <c r="S53"/>
  <c r="S56" s="1"/>
  <c r="S99"/>
  <c r="T94" s="1"/>
  <c r="T96" l="1"/>
  <c r="T52" l="1"/>
  <c r="T98"/>
  <c r="T84" l="1"/>
  <c r="T75"/>
  <c r="T53"/>
  <c r="T56" s="1"/>
  <c r="T99"/>
  <c r="U94" s="1"/>
  <c r="U96" l="1"/>
  <c r="U52" l="1"/>
  <c r="U98"/>
  <c r="U75" l="1"/>
  <c r="U84"/>
  <c r="U53"/>
  <c r="U56" s="1"/>
  <c r="U99"/>
  <c r="V94" s="1"/>
  <c r="V96" l="1"/>
  <c r="V52" l="1"/>
  <c r="V84" s="1"/>
  <c r="V98"/>
  <c r="V75" l="1"/>
  <c r="V53"/>
  <c r="V56" s="1"/>
  <c r="V99"/>
  <c r="W94" s="1"/>
  <c r="W96" l="1"/>
  <c r="W52" l="1"/>
  <c r="W98"/>
  <c r="W75" l="1"/>
  <c r="W84"/>
  <c r="W53"/>
  <c r="W56" s="1"/>
  <c r="W99"/>
  <c r="X94" s="1"/>
  <c r="X96" l="1"/>
  <c r="X52" l="1"/>
  <c r="X98"/>
  <c r="X84" l="1"/>
  <c r="X75"/>
  <c r="X53"/>
  <c r="X56" s="1"/>
  <c r="X99"/>
  <c r="Y94" s="1"/>
  <c r="Y96" l="1"/>
  <c r="Y52" l="1"/>
  <c r="Y98"/>
  <c r="Y84" l="1"/>
  <c r="Y75"/>
  <c r="Y53"/>
  <c r="Y56" s="1"/>
  <c r="Y99"/>
  <c r="Z94" s="1"/>
  <c r="Z96" l="1"/>
  <c r="Z52" l="1"/>
  <c r="Z98"/>
  <c r="Z84" l="1"/>
  <c r="Z75"/>
  <c r="Z53"/>
  <c r="Z56" s="1"/>
  <c r="Z99"/>
  <c r="AA94" s="1"/>
  <c r="AA96" l="1"/>
  <c r="AA52" l="1"/>
  <c r="AA98"/>
  <c r="AA75" l="1"/>
  <c r="AA84"/>
  <c r="AA53"/>
  <c r="AA56" s="1"/>
  <c r="AA99"/>
  <c r="AB94" s="1"/>
  <c r="AB96" l="1"/>
  <c r="AB52" l="1"/>
  <c r="AB98"/>
  <c r="AB84" l="1"/>
  <c r="AB75"/>
  <c r="AB53"/>
  <c r="AB56" s="1"/>
  <c r="AB99"/>
  <c r="AC94" s="1"/>
  <c r="AC96" l="1"/>
  <c r="AC52" l="1"/>
  <c r="AC98"/>
  <c r="AC75" l="1"/>
  <c r="AC84"/>
  <c r="AC53"/>
  <c r="AC56" s="1"/>
  <c r="AC99"/>
  <c r="AD94" s="1"/>
  <c r="AD96" l="1"/>
  <c r="AD52" l="1"/>
  <c r="AD98"/>
  <c r="AD75" l="1"/>
  <c r="AD84"/>
  <c r="AD53"/>
  <c r="AD56" s="1"/>
  <c r="AD99"/>
  <c r="AE94" s="1"/>
  <c r="AE96" l="1"/>
  <c r="AE52" l="1"/>
  <c r="AE98"/>
  <c r="AE84" l="1"/>
  <c r="AE75"/>
  <c r="AE53"/>
  <c r="AE56" s="1"/>
  <c r="AE99"/>
  <c r="AF94" s="1"/>
  <c r="AF96" l="1"/>
  <c r="AF52" l="1"/>
  <c r="AF98"/>
  <c r="AF84" l="1"/>
  <c r="AF75"/>
  <c r="AF53"/>
  <c r="AF56" s="1"/>
  <c r="AF99"/>
  <c r="AG94" s="1"/>
  <c r="AG96" l="1"/>
  <c r="AG52" l="1"/>
  <c r="AG98"/>
  <c r="AG75" l="1"/>
  <c r="AG84"/>
  <c r="AG53"/>
  <c r="AG56" s="1"/>
  <c r="AG99"/>
  <c r="AH94" s="1"/>
  <c r="AH99" l="1"/>
  <c r="AI94" s="1"/>
  <c r="AH96"/>
  <c r="AH52" s="1"/>
  <c r="AI96" l="1"/>
  <c r="AI52" s="1"/>
  <c r="AI99"/>
  <c r="AJ94" s="1"/>
  <c r="AH84"/>
  <c r="AH56"/>
  <c r="AH75"/>
  <c r="AI56" l="1"/>
  <c r="AI75"/>
  <c r="AI84"/>
  <c r="AJ99"/>
  <c r="AK94" s="1"/>
  <c r="AJ96"/>
  <c r="AJ52" s="1"/>
  <c r="AK99" l="1"/>
  <c r="AL94" s="1"/>
  <c r="AK96"/>
  <c r="AK52" s="1"/>
  <c r="AJ56"/>
  <c r="AJ84"/>
  <c r="AJ75"/>
  <c r="AL99" l="1"/>
  <c r="AM94" s="1"/>
  <c r="AL96"/>
  <c r="AL52" s="1"/>
  <c r="AK56"/>
  <c r="AK84"/>
  <c r="AK75"/>
  <c r="AM96" l="1"/>
  <c r="AM52" s="1"/>
  <c r="AM99"/>
  <c r="AN94" s="1"/>
  <c r="AL75"/>
  <c r="AL56"/>
  <c r="AL84"/>
  <c r="AM75" l="1"/>
  <c r="AM84"/>
  <c r="AM56"/>
  <c r="AN99"/>
  <c r="AO94" s="1"/>
  <c r="AN96"/>
  <c r="AN52" s="1"/>
  <c r="AO96" l="1"/>
  <c r="AO52" s="1"/>
  <c r="AO99"/>
  <c r="AP94" s="1"/>
  <c r="AN75"/>
  <c r="AN56"/>
  <c r="AN84"/>
  <c r="AO84" l="1"/>
  <c r="AO75"/>
  <c r="AO56"/>
  <c r="AP96"/>
  <c r="AP52" s="1"/>
  <c r="AP99"/>
  <c r="AQ94" s="1"/>
  <c r="AQ96" s="1"/>
  <c r="AQ52" s="1"/>
  <c r="AP75" l="1"/>
  <c r="AP56"/>
  <c r="AP84"/>
  <c r="AQ84"/>
  <c r="AQ75"/>
  <c r="AQ56"/>
  <c r="D41" l="1"/>
  <c r="D42" s="1"/>
  <c r="D80" l="1"/>
  <c r="D71"/>
  <c r="D76" s="1"/>
  <c r="D77" s="1"/>
  <c r="D50"/>
  <c r="D112" s="1"/>
  <c r="D113" s="1"/>
  <c r="E41"/>
  <c r="E42" s="1"/>
  <c r="AD41"/>
  <c r="AD42" s="1"/>
  <c r="E80" l="1"/>
  <c r="E50"/>
  <c r="E112" s="1"/>
  <c r="E113" s="1"/>
  <c r="E71"/>
  <c r="E76" s="1"/>
  <c r="E77" s="1"/>
  <c r="F41"/>
  <c r="F42" s="1"/>
  <c r="D85"/>
  <c r="D86" s="1"/>
  <c r="D87" s="1"/>
  <c r="D59"/>
  <c r="AE41"/>
  <c r="AE42" s="1"/>
  <c r="AD50"/>
  <c r="AD112" s="1"/>
  <c r="AD113" s="1"/>
  <c r="AD80"/>
  <c r="AD71"/>
  <c r="AD76" s="1"/>
  <c r="AD77" s="1"/>
  <c r="F80" l="1"/>
  <c r="F71"/>
  <c r="F76" s="1"/>
  <c r="F77" s="1"/>
  <c r="F50"/>
  <c r="F112" s="1"/>
  <c r="F113" s="1"/>
  <c r="E59"/>
  <c r="E85"/>
  <c r="E86" s="1"/>
  <c r="E87" s="1"/>
  <c r="D89"/>
  <c r="D61" s="1"/>
  <c r="D65" s="1"/>
  <c r="D60"/>
  <c r="G41"/>
  <c r="G42" s="1"/>
  <c r="AF41"/>
  <c r="AF42" s="1"/>
  <c r="AD59"/>
  <c r="AD85"/>
  <c r="AD86" s="1"/>
  <c r="AD87" s="1"/>
  <c r="AE50"/>
  <c r="AE112" s="1"/>
  <c r="AE113" s="1"/>
  <c r="AE71"/>
  <c r="AE76" s="1"/>
  <c r="AE77" s="1"/>
  <c r="AE80"/>
  <c r="G80" l="1"/>
  <c r="G50"/>
  <c r="G112" s="1"/>
  <c r="G113" s="1"/>
  <c r="G71"/>
  <c r="G76" s="1"/>
  <c r="G77" s="1"/>
  <c r="E60"/>
  <c r="E89"/>
  <c r="E61" s="1"/>
  <c r="E65" s="1"/>
  <c r="H41"/>
  <c r="H42" s="1"/>
  <c r="F85"/>
  <c r="F86" s="1"/>
  <c r="F87" s="1"/>
  <c r="F59"/>
  <c r="AC41"/>
  <c r="AC42" s="1"/>
  <c r="AG41"/>
  <c r="AG42" s="1"/>
  <c r="AD60"/>
  <c r="AD89"/>
  <c r="AD61" s="1"/>
  <c r="AD65" s="1"/>
  <c r="AF50"/>
  <c r="AF80"/>
  <c r="AF71"/>
  <c r="AF76" s="1"/>
  <c r="AF77" s="1"/>
  <c r="AE59"/>
  <c r="AE85"/>
  <c r="AE86" s="1"/>
  <c r="AE87" s="1"/>
  <c r="F60" l="1"/>
  <c r="F89"/>
  <c r="F61" s="1"/>
  <c r="F65" s="1"/>
  <c r="I41"/>
  <c r="I42" s="1"/>
  <c r="H50"/>
  <c r="H112" s="1"/>
  <c r="H113" s="1"/>
  <c r="H71"/>
  <c r="H76" s="1"/>
  <c r="H77" s="1"/>
  <c r="H80"/>
  <c r="G85"/>
  <c r="G86" s="1"/>
  <c r="G87" s="1"/>
  <c r="G59"/>
  <c r="AC50"/>
  <c r="AC112" s="1"/>
  <c r="AC113" s="1"/>
  <c r="AC71"/>
  <c r="AC76" s="1"/>
  <c r="AC77" s="1"/>
  <c r="AC80"/>
  <c r="AH41"/>
  <c r="AH42" s="1"/>
  <c r="AE60"/>
  <c r="AE89"/>
  <c r="AE61" s="1"/>
  <c r="AE65" s="1"/>
  <c r="AF112"/>
  <c r="AF113" s="1"/>
  <c r="AG50"/>
  <c r="AG112" s="1"/>
  <c r="AG113" s="1"/>
  <c r="AG71"/>
  <c r="AG76" s="1"/>
  <c r="AG77" s="1"/>
  <c r="AG80"/>
  <c r="AF85"/>
  <c r="AF86" s="1"/>
  <c r="AF87" s="1"/>
  <c r="AF59"/>
  <c r="J41" l="1"/>
  <c r="J42" s="1"/>
  <c r="G89"/>
  <c r="G61" s="1"/>
  <c r="G65" s="1"/>
  <c r="G60"/>
  <c r="H85"/>
  <c r="H86" s="1"/>
  <c r="H87" s="1"/>
  <c r="H59"/>
  <c r="I71"/>
  <c r="I76" s="1"/>
  <c r="I77" s="1"/>
  <c r="I50"/>
  <c r="I112" s="1"/>
  <c r="I113" s="1"/>
  <c r="I80"/>
  <c r="AC59"/>
  <c r="AC85"/>
  <c r="AC86" s="1"/>
  <c r="AC87" s="1"/>
  <c r="AG85"/>
  <c r="AG86" s="1"/>
  <c r="AG87" s="1"/>
  <c r="AG59"/>
  <c r="AI41"/>
  <c r="AI42" s="1"/>
  <c r="AF89"/>
  <c r="AF61" s="1"/>
  <c r="AF65" s="1"/>
  <c r="AF60"/>
  <c r="AH50"/>
  <c r="AH71"/>
  <c r="AH76" s="1"/>
  <c r="AH77" s="1"/>
  <c r="AH80"/>
  <c r="I85" l="1"/>
  <c r="I86" s="1"/>
  <c r="I87" s="1"/>
  <c r="I59"/>
  <c r="H60"/>
  <c r="H89"/>
  <c r="H61" s="1"/>
  <c r="H65" s="1"/>
  <c r="J80"/>
  <c r="J71"/>
  <c r="J76" s="1"/>
  <c r="J77" s="1"/>
  <c r="J50"/>
  <c r="J112" s="1"/>
  <c r="J113" s="1"/>
  <c r="K41"/>
  <c r="K42" s="1"/>
  <c r="AC89"/>
  <c r="AC61" s="1"/>
  <c r="AC65" s="1"/>
  <c r="AC60"/>
  <c r="AH112"/>
  <c r="AI50"/>
  <c r="AI112" s="1"/>
  <c r="AI71"/>
  <c r="AI76" s="1"/>
  <c r="AI77" s="1"/>
  <c r="AI80"/>
  <c r="AH85"/>
  <c r="AH86" s="1"/>
  <c r="AH87" s="1"/>
  <c r="AH59"/>
  <c r="AG60"/>
  <c r="AG89"/>
  <c r="AG61" s="1"/>
  <c r="AG65" s="1"/>
  <c r="AJ41"/>
  <c r="AJ42" s="1"/>
  <c r="K71" l="1"/>
  <c r="K76" s="1"/>
  <c r="K77" s="1"/>
  <c r="K50"/>
  <c r="K112" s="1"/>
  <c r="K113" s="1"/>
  <c r="K80"/>
  <c r="I89"/>
  <c r="I61" s="1"/>
  <c r="I65" s="1"/>
  <c r="I60"/>
  <c r="L41"/>
  <c r="L42" s="1"/>
  <c r="J59"/>
  <c r="J85"/>
  <c r="J86" s="1"/>
  <c r="J87" s="1"/>
  <c r="AK41"/>
  <c r="AK42" s="1"/>
  <c r="AH89"/>
  <c r="AH61" s="1"/>
  <c r="AH65" s="1"/>
  <c r="AH60"/>
  <c r="AJ50"/>
  <c r="AJ80"/>
  <c r="AJ71"/>
  <c r="AJ76" s="1"/>
  <c r="AJ77" s="1"/>
  <c r="AI85"/>
  <c r="AI86" s="1"/>
  <c r="AI87" s="1"/>
  <c r="AI59"/>
  <c r="J60" l="1"/>
  <c r="J89"/>
  <c r="J61" s="1"/>
  <c r="J65" s="1"/>
  <c r="L80"/>
  <c r="L50"/>
  <c r="L112" s="1"/>
  <c r="L113" s="1"/>
  <c r="L71"/>
  <c r="L76" s="1"/>
  <c r="L77" s="1"/>
  <c r="K59"/>
  <c r="K85"/>
  <c r="K86" s="1"/>
  <c r="K87" s="1"/>
  <c r="M41"/>
  <c r="M42" s="1"/>
  <c r="AL41"/>
  <c r="AL42" s="1"/>
  <c r="AJ85"/>
  <c r="AJ86" s="1"/>
  <c r="AJ87" s="1"/>
  <c r="AJ59"/>
  <c r="AI60"/>
  <c r="AI89"/>
  <c r="AI61" s="1"/>
  <c r="AI65" s="1"/>
  <c r="AJ112"/>
  <c r="AK50"/>
  <c r="AK112" s="1"/>
  <c r="AK71"/>
  <c r="AK76" s="1"/>
  <c r="AK77" s="1"/>
  <c r="AK80"/>
  <c r="N41" l="1"/>
  <c r="N42" s="1"/>
  <c r="K60"/>
  <c r="K89"/>
  <c r="K61" s="1"/>
  <c r="K65" s="1"/>
  <c r="L85"/>
  <c r="L86" s="1"/>
  <c r="L87" s="1"/>
  <c r="L59"/>
  <c r="M50"/>
  <c r="M112" s="1"/>
  <c r="M113" s="1"/>
  <c r="M80"/>
  <c r="M71"/>
  <c r="M76" s="1"/>
  <c r="M77" s="1"/>
  <c r="AM41"/>
  <c r="AM42" s="1"/>
  <c r="AK85"/>
  <c r="AK86" s="1"/>
  <c r="AK87" s="1"/>
  <c r="AK59"/>
  <c r="AL50"/>
  <c r="AL112" s="1"/>
  <c r="AL71"/>
  <c r="AL76" s="1"/>
  <c r="AL77" s="1"/>
  <c r="AL80"/>
  <c r="AJ89"/>
  <c r="AJ61" s="1"/>
  <c r="AJ65" s="1"/>
  <c r="AJ60"/>
  <c r="M59" l="1"/>
  <c r="M85"/>
  <c r="M86" s="1"/>
  <c r="M87" s="1"/>
  <c r="L60"/>
  <c r="L89"/>
  <c r="L61" s="1"/>
  <c r="L65" s="1"/>
  <c r="O41"/>
  <c r="O42" s="1"/>
  <c r="N50"/>
  <c r="N112" s="1"/>
  <c r="N113" s="1"/>
  <c r="N71"/>
  <c r="N76" s="1"/>
  <c r="N77" s="1"/>
  <c r="N80"/>
  <c r="AM50"/>
  <c r="AM112" s="1"/>
  <c r="AM80"/>
  <c r="AM71"/>
  <c r="AM76" s="1"/>
  <c r="AM77" s="1"/>
  <c r="AN41"/>
  <c r="AN42" s="1"/>
  <c r="AL85"/>
  <c r="AL86" s="1"/>
  <c r="AL87" s="1"/>
  <c r="AL59"/>
  <c r="AK60"/>
  <c r="AK89"/>
  <c r="AK61" s="1"/>
  <c r="AK65" s="1"/>
  <c r="O50" l="1"/>
  <c r="O112" s="1"/>
  <c r="O113" s="1"/>
  <c r="O71"/>
  <c r="O76" s="1"/>
  <c r="O77" s="1"/>
  <c r="O80"/>
  <c r="N85"/>
  <c r="N86" s="1"/>
  <c r="N87" s="1"/>
  <c r="N59"/>
  <c r="P41"/>
  <c r="P42" s="1"/>
  <c r="M89"/>
  <c r="M61" s="1"/>
  <c r="M65" s="1"/>
  <c r="M60"/>
  <c r="AM59"/>
  <c r="AM85"/>
  <c r="AM86" s="1"/>
  <c r="AM87" s="1"/>
  <c r="AN50"/>
  <c r="AN112" s="1"/>
  <c r="AN71"/>
  <c r="AN76" s="1"/>
  <c r="AN77" s="1"/>
  <c r="AN80"/>
  <c r="AL89"/>
  <c r="AL61" s="1"/>
  <c r="AL65" s="1"/>
  <c r="AL60"/>
  <c r="AO41"/>
  <c r="AO42" s="1"/>
  <c r="Q41" l="1"/>
  <c r="Q42" s="1"/>
  <c r="P50"/>
  <c r="P112" s="1"/>
  <c r="P113" s="1"/>
  <c r="P80"/>
  <c r="P71"/>
  <c r="P76" s="1"/>
  <c r="P77" s="1"/>
  <c r="N89"/>
  <c r="N61" s="1"/>
  <c r="N65" s="1"/>
  <c r="N60"/>
  <c r="O85"/>
  <c r="O86" s="1"/>
  <c r="O87" s="1"/>
  <c r="O59"/>
  <c r="AO50"/>
  <c r="AO112" s="1"/>
  <c r="AO80"/>
  <c r="AO71"/>
  <c r="AO76" s="1"/>
  <c r="AO77" s="1"/>
  <c r="AM60"/>
  <c r="AM89"/>
  <c r="AM61" s="1"/>
  <c r="AM65" s="1"/>
  <c r="AP41"/>
  <c r="AP42" s="1"/>
  <c r="AN59"/>
  <c r="AN85"/>
  <c r="AN86" s="1"/>
  <c r="AN87" s="1"/>
  <c r="P59" l="1"/>
  <c r="P85"/>
  <c r="P86" s="1"/>
  <c r="P87" s="1"/>
  <c r="R41"/>
  <c r="R42" s="1"/>
  <c r="O89"/>
  <c r="O61" s="1"/>
  <c r="O65" s="1"/>
  <c r="O60"/>
  <c r="Q71"/>
  <c r="Q76" s="1"/>
  <c r="Q77" s="1"/>
  <c r="Q80"/>
  <c r="Q50"/>
  <c r="Q112" s="1"/>
  <c r="Q113" s="1"/>
  <c r="AN89"/>
  <c r="AN61" s="1"/>
  <c r="AN65" s="1"/>
  <c r="AN60"/>
  <c r="AO85"/>
  <c r="AO86" s="1"/>
  <c r="AO87" s="1"/>
  <c r="AO59"/>
  <c r="AQ41"/>
  <c r="AQ42" s="1"/>
  <c r="AP50"/>
  <c r="AP112" s="1"/>
  <c r="AP71"/>
  <c r="AP76" s="1"/>
  <c r="AP77" s="1"/>
  <c r="AP80"/>
  <c r="Q85" l="1"/>
  <c r="Q86" s="1"/>
  <c r="Q87" s="1"/>
  <c r="Q59"/>
  <c r="R50"/>
  <c r="R112" s="1"/>
  <c r="R113" s="1"/>
  <c r="R80"/>
  <c r="R71"/>
  <c r="R76" s="1"/>
  <c r="R77" s="1"/>
  <c r="S41"/>
  <c r="S42" s="1"/>
  <c r="P89"/>
  <c r="P61" s="1"/>
  <c r="P65" s="1"/>
  <c r="P60"/>
  <c r="AO60"/>
  <c r="AO89"/>
  <c r="AO61" s="1"/>
  <c r="AO65" s="1"/>
  <c r="AQ50"/>
  <c r="AQ71"/>
  <c r="AQ76" s="1"/>
  <c r="AQ77" s="1"/>
  <c r="AQ80"/>
  <c r="AP85"/>
  <c r="AP86" s="1"/>
  <c r="AP87" s="1"/>
  <c r="AP59"/>
  <c r="S80" l="1"/>
  <c r="S50"/>
  <c r="S112" s="1"/>
  <c r="S113" s="1"/>
  <c r="S71"/>
  <c r="S76" s="1"/>
  <c r="S77" s="1"/>
  <c r="R59"/>
  <c r="R85"/>
  <c r="R86" s="1"/>
  <c r="R87" s="1"/>
  <c r="Q60"/>
  <c r="Q89"/>
  <c r="Q61" s="1"/>
  <c r="Q65" s="1"/>
  <c r="T41"/>
  <c r="T42" s="1"/>
  <c r="AQ112"/>
  <c r="AP89"/>
  <c r="AP61" s="1"/>
  <c r="AP65" s="1"/>
  <c r="AP60"/>
  <c r="AQ59"/>
  <c r="AQ85"/>
  <c r="AQ86" s="1"/>
  <c r="AQ87" s="1"/>
  <c r="T80" l="1"/>
  <c r="T50"/>
  <c r="T71"/>
  <c r="T76" s="1"/>
  <c r="T77" s="1"/>
  <c r="R89"/>
  <c r="R61" s="1"/>
  <c r="R65" s="1"/>
  <c r="R60"/>
  <c r="S85"/>
  <c r="S86" s="1"/>
  <c r="S87" s="1"/>
  <c r="S59"/>
  <c r="U41"/>
  <c r="U42" s="1"/>
  <c r="AQ60"/>
  <c r="AQ89"/>
  <c r="AQ61" s="1"/>
  <c r="AQ65" s="1"/>
  <c r="V41" l="1"/>
  <c r="V42" s="1"/>
  <c r="T85"/>
  <c r="T86" s="1"/>
  <c r="T87" s="1"/>
  <c r="T59"/>
  <c r="U71"/>
  <c r="U76" s="1"/>
  <c r="U77" s="1"/>
  <c r="U50"/>
  <c r="U112" s="1"/>
  <c r="U113" s="1"/>
  <c r="U80"/>
  <c r="S60"/>
  <c r="S89"/>
  <c r="S61" s="1"/>
  <c r="S65" s="1"/>
  <c r="T112"/>
  <c r="T113" l="1"/>
  <c r="V50"/>
  <c r="V71"/>
  <c r="V76" s="1"/>
  <c r="V77" s="1"/>
  <c r="V80"/>
  <c r="U59"/>
  <c r="U85"/>
  <c r="U86" s="1"/>
  <c r="U87" s="1"/>
  <c r="T89"/>
  <c r="T61" s="1"/>
  <c r="T65" s="1"/>
  <c r="T60"/>
  <c r="W41"/>
  <c r="W42" s="1"/>
  <c r="X41" l="1"/>
  <c r="X42" s="1"/>
  <c r="W80"/>
  <c r="W71"/>
  <c r="W76" s="1"/>
  <c r="W77" s="1"/>
  <c r="W50"/>
  <c r="W112" s="1"/>
  <c r="W113" s="1"/>
  <c r="U89"/>
  <c r="U61" s="1"/>
  <c r="U65" s="1"/>
  <c r="U60"/>
  <c r="V112"/>
  <c r="V59"/>
  <c r="V85"/>
  <c r="V86" s="1"/>
  <c r="V87" s="1"/>
  <c r="V60" l="1"/>
  <c r="V89"/>
  <c r="V61" s="1"/>
  <c r="V65" s="1"/>
  <c r="V113"/>
  <c r="W85"/>
  <c r="W86" s="1"/>
  <c r="W87" s="1"/>
  <c r="W59"/>
  <c r="Y41"/>
  <c r="Y42" s="1"/>
  <c r="X71"/>
  <c r="X76" s="1"/>
  <c r="X77" s="1"/>
  <c r="X50"/>
  <c r="X80"/>
  <c r="Z41" l="1"/>
  <c r="Z42" s="1"/>
  <c r="X59"/>
  <c r="X85"/>
  <c r="X86" s="1"/>
  <c r="X87" s="1"/>
  <c r="Y71"/>
  <c r="Y76" s="1"/>
  <c r="Y77" s="1"/>
  <c r="Y50"/>
  <c r="Y112" s="1"/>
  <c r="Y113" s="1"/>
  <c r="Y80"/>
  <c r="W89"/>
  <c r="W61" s="1"/>
  <c r="W65" s="1"/>
  <c r="W60"/>
  <c r="X112"/>
  <c r="X113" l="1"/>
  <c r="X89"/>
  <c r="X61" s="1"/>
  <c r="X65" s="1"/>
  <c r="X60"/>
  <c r="AA41"/>
  <c r="AA42" s="1"/>
  <c r="Y85"/>
  <c r="Y86" s="1"/>
  <c r="Y87" s="1"/>
  <c r="Y59"/>
  <c r="Z80"/>
  <c r="Z50"/>
  <c r="Z71"/>
  <c r="Z76" s="1"/>
  <c r="Z77" s="1"/>
  <c r="Z59" l="1"/>
  <c r="Z85"/>
  <c r="Z86" s="1"/>
  <c r="Z87" s="1"/>
  <c r="Y89"/>
  <c r="Y61" s="1"/>
  <c r="Y65" s="1"/>
  <c r="Y60"/>
  <c r="AA50"/>
  <c r="AA112" s="1"/>
  <c r="AA113" s="1"/>
  <c r="AA71"/>
  <c r="AA76" s="1"/>
  <c r="AA77" s="1"/>
  <c r="AA80"/>
  <c r="Z112"/>
  <c r="AB41"/>
  <c r="AB42" s="1"/>
  <c r="AB80" l="1"/>
  <c r="AB71"/>
  <c r="AB76" s="1"/>
  <c r="AB77" s="1"/>
  <c r="AB50"/>
  <c r="Z113"/>
  <c r="AA85"/>
  <c r="AA86" s="1"/>
  <c r="AA87" s="1"/>
  <c r="AA59"/>
  <c r="Z89"/>
  <c r="Z61" s="1"/>
  <c r="Z65" s="1"/>
  <c r="Z60"/>
  <c r="AB112" l="1"/>
  <c r="C130"/>
  <c r="C131" s="1"/>
  <c r="AA60"/>
  <c r="AA89"/>
  <c r="AA61" s="1"/>
  <c r="AA65" s="1"/>
  <c r="AB85"/>
  <c r="AB86" s="1"/>
  <c r="AB87" s="1"/>
  <c r="AB59"/>
  <c r="AB89" l="1"/>
  <c r="AB61" s="1"/>
  <c r="AB65" s="1"/>
  <c r="M9" s="1"/>
  <c r="I5" i="1" s="1"/>
  <c r="AB60" i="2"/>
  <c r="AB113"/>
  <c r="C114" s="1"/>
  <c r="C115"/>
  <c r="M8" l="1"/>
  <c r="I4" i="1" s="1"/>
</calcChain>
</file>

<file path=xl/sharedStrings.xml><?xml version="1.0" encoding="utf-8"?>
<sst xmlns="http://schemas.openxmlformats.org/spreadsheetml/2006/main" count="274" uniqueCount="162">
  <si>
    <t>System Size (DC) (MW)</t>
  </si>
  <si>
    <t>System Cost ($/watt DC)</t>
  </si>
  <si>
    <t>O&amp;M Costs ($/kW)</t>
  </si>
  <si>
    <t>Inverter replacement cost ($/W)</t>
  </si>
  <si>
    <t>Inverter replacement time (Years)</t>
  </si>
  <si>
    <t>Insurance Expense ($/kW)</t>
  </si>
  <si>
    <t>Insurance Escalator (%/yr)</t>
  </si>
  <si>
    <t>Federal Tax Rate</t>
  </si>
  <si>
    <t>State Tax Rate</t>
  </si>
  <si>
    <t>MACRS Term</t>
  </si>
  <si>
    <t>Financing</t>
  </si>
  <si>
    <t>(in actual dollars)</t>
  </si>
  <si>
    <t>System Design</t>
  </si>
  <si>
    <t>Tax Assumptions</t>
  </si>
  <si>
    <t>Output</t>
  </si>
  <si>
    <t>NPV</t>
  </si>
  <si>
    <t>Initial debt service reserve funding</t>
  </si>
  <si>
    <t>Effective Tax Rate</t>
  </si>
  <si>
    <t>Total System Cost</t>
  </si>
  <si>
    <t>Investment Tax Credit Rate</t>
  </si>
  <si>
    <t>Basis Reduction (50% of ITC)</t>
  </si>
  <si>
    <t>Performance Inputs</t>
  </si>
  <si>
    <t>DC Capacity Factor</t>
  </si>
  <si>
    <t>Annual Output for Year 1 (MWh)</t>
  </si>
  <si>
    <t>Degradation Factor</t>
  </si>
  <si>
    <t>% Financed w/ equity</t>
  </si>
  <si>
    <t>% Financed w/ debt</t>
  </si>
  <si>
    <t>Debt Interest rate</t>
  </si>
  <si>
    <t>Other</t>
  </si>
  <si>
    <t>Debt period in years</t>
  </si>
  <si>
    <t>O&amp;M Costs Escalator (%/yr)</t>
  </si>
  <si>
    <t>Interest Rate on DSRF</t>
  </si>
  <si>
    <t>Annual inverter amount to reserve</t>
  </si>
  <si>
    <t>Inverter replacement time (in Years)</t>
  </si>
  <si>
    <t>Equity Amount</t>
  </si>
  <si>
    <t>Debt Amount</t>
  </si>
  <si>
    <t>Year</t>
  </si>
  <si>
    <t xml:space="preserve">Levelized </t>
  </si>
  <si>
    <t>Energy Production (MWh)</t>
  </si>
  <si>
    <t>Cost of Generation ($/kWh)</t>
  </si>
  <si>
    <t xml:space="preserve">Operating Revenue </t>
  </si>
  <si>
    <t>Total Revenue</t>
  </si>
  <si>
    <t>O&amp;M Costs</t>
  </si>
  <si>
    <t>Inverter Replacement Cost</t>
  </si>
  <si>
    <t xml:space="preserve">Inverter Replacement Costs </t>
  </si>
  <si>
    <t>Insurance Costs</t>
  </si>
  <si>
    <t>Total Costs</t>
  </si>
  <si>
    <t>Operating Profit</t>
  </si>
  <si>
    <t>Interest Expense</t>
  </si>
  <si>
    <t>Loan Repayment Expense (Principal)</t>
  </si>
  <si>
    <t>Debt Service Reserve</t>
  </si>
  <si>
    <t>Interest earned on DSRF</t>
  </si>
  <si>
    <t>Net Finance Costs</t>
  </si>
  <si>
    <t>State tax refund/(paid)</t>
  </si>
  <si>
    <t>Federal tax refund (paid)</t>
  </si>
  <si>
    <r>
      <t xml:space="preserve">Taxes </t>
    </r>
    <r>
      <rPr>
        <sz val="10"/>
        <rFont val="Arial"/>
        <family val="2"/>
      </rPr>
      <t>Saved/(Paid)</t>
    </r>
  </si>
  <si>
    <t>Equity Investment</t>
  </si>
  <si>
    <t>After-Tax Equity Cash Flow</t>
  </si>
  <si>
    <t>Taxes</t>
  </si>
  <si>
    <t>Taxable operating income</t>
  </si>
  <si>
    <t>Depreciation schedule (assumes LLP entity)</t>
  </si>
  <si>
    <t>Depreciation  Basis</t>
  </si>
  <si>
    <t xml:space="preserve">Depreciation </t>
  </si>
  <si>
    <t>Interest</t>
  </si>
  <si>
    <t>Taxable income</t>
  </si>
  <si>
    <t>Tax  refund/(paid)</t>
  </si>
  <si>
    <t>Federal</t>
  </si>
  <si>
    <t>Depreciation schedule</t>
  </si>
  <si>
    <t>Depreciation basis</t>
  </si>
  <si>
    <t>Depreciation</t>
  </si>
  <si>
    <t>State taxes rebate/(paid)</t>
  </si>
  <si>
    <t>Tax refund/(paid)</t>
  </si>
  <si>
    <t>Investment tax credit</t>
  </si>
  <si>
    <t>Total tax refund/(paid)</t>
  </si>
  <si>
    <t>Discount Rate</t>
  </si>
  <si>
    <t>Debt Schedule</t>
  </si>
  <si>
    <t>Debt Term Flag</t>
  </si>
  <si>
    <t>Beginning Balance</t>
  </si>
  <si>
    <t>Debt Service</t>
  </si>
  <si>
    <t>Principal</t>
  </si>
  <si>
    <t>Ending Balance</t>
  </si>
  <si>
    <t>Inverter Replacement Fund</t>
  </si>
  <si>
    <t>Initial Funding</t>
  </si>
  <si>
    <t>Withdrawal</t>
  </si>
  <si>
    <t>Final Operations Year Withdrawal</t>
  </si>
  <si>
    <t>Interest Rate</t>
  </si>
  <si>
    <t>Net Cash Flow</t>
  </si>
  <si>
    <t>DSCR</t>
  </si>
  <si>
    <t>Cash Flow Available for Debt Service (CFADS)</t>
  </si>
  <si>
    <t>Debt Service Coverage Ratio (DSCR)</t>
  </si>
  <si>
    <t>Average of DSCRs</t>
  </si>
  <si>
    <t>CFADS / DS</t>
  </si>
  <si>
    <t>Target DSCR</t>
  </si>
  <si>
    <t>Debt Service Fund</t>
  </si>
  <si>
    <t>Earned Interest</t>
  </si>
  <si>
    <t>Check:  CFADS yields sufficient coverage</t>
  </si>
  <si>
    <t>Sum of Debt Service</t>
  </si>
  <si>
    <t>Total CFADS required</t>
  </si>
  <si>
    <t>CFADS over debt term</t>
  </si>
  <si>
    <t>Net</t>
  </si>
  <si>
    <t>MACRS Schedule</t>
  </si>
  <si>
    <t>Term</t>
  </si>
  <si>
    <t>5 + Bonus</t>
  </si>
  <si>
    <t xml:space="preserve">Milford Solar Energy Pro Forma </t>
  </si>
  <si>
    <t>New Jersey</t>
  </si>
  <si>
    <t>SREC Schedule</t>
  </si>
  <si>
    <t>Fixed Cost</t>
  </si>
  <si>
    <t>SREC Value/MW</t>
  </si>
  <si>
    <t>SRECS Generated</t>
  </si>
  <si>
    <t>SREC Income</t>
  </si>
  <si>
    <t>System lifetime (in Years) = Lease Term</t>
  </si>
  <si>
    <t>Rutgers University Renewable Energy Studio</t>
  </si>
  <si>
    <t>Land Lease/Year</t>
  </si>
  <si>
    <t>Lease Escalator</t>
  </si>
  <si>
    <t xml:space="preserve">Land Lease </t>
  </si>
  <si>
    <t>Source:  http://www.ethree.com/documents/LTPP/[LTPP Solar Pricing Pro Forma.xls</t>
  </si>
  <si>
    <t>IRR</t>
  </si>
  <si>
    <t>Net Present Value</t>
  </si>
  <si>
    <t>Weighted Average Cost of Capital</t>
  </si>
  <si>
    <t>Wholesale Price of Electricity (MWh)</t>
  </si>
  <si>
    <t>Wholesale Price of Electricity</t>
  </si>
  <si>
    <t>Electricity Escalator</t>
  </si>
  <si>
    <t>SREC Decelerator</t>
  </si>
  <si>
    <t>User Inputs</t>
  </si>
  <si>
    <t>Outputs (Do Not Change)</t>
  </si>
  <si>
    <t>System lifetime (Years) = Lease Term</t>
  </si>
  <si>
    <t>Internal Rate of Return</t>
  </si>
  <si>
    <t>Fiscal Viability Measures</t>
  </si>
  <si>
    <t>Energy and Environmental Economics, Inc.</t>
  </si>
  <si>
    <t>101 Montgomery Street, Suite 1600</t>
  </si>
  <si>
    <t>San Francisco, CA 94104</t>
  </si>
  <si>
    <t>phone:  415-391-5100</t>
  </si>
  <si>
    <t>Contents:</t>
  </si>
  <si>
    <t>Color Scheme:</t>
  </si>
  <si>
    <t>Input/Output Block</t>
  </si>
  <si>
    <t>Inputs and Outputs</t>
  </si>
  <si>
    <t>ProForma</t>
  </si>
  <si>
    <t>Annual cash flows</t>
  </si>
  <si>
    <t>Outputs and Calculations</t>
  </si>
  <si>
    <t>December 15,2010</t>
  </si>
  <si>
    <t>Rutgers University Milford Renewable Energy Feasibility Studio - Fall 2010</t>
  </si>
  <si>
    <t>Definitions and Notes</t>
  </si>
  <si>
    <t>Inverter Replacement Cost over time</t>
  </si>
  <si>
    <t>Derived using PVWATTS and refers to the capacity of the PV system being assessed</t>
  </si>
  <si>
    <t>Includes all costs related to the installation of a solar PV system, including purchase of panels, transportation, installation, consulting fees, etc.  For the purposes of this study, the cost of land acquisition has been removed.</t>
  </si>
  <si>
    <t>Capital dedicated to servicing debt</t>
  </si>
  <si>
    <t>System cost * System size + Initial DSRF</t>
  </si>
  <si>
    <t>Initial debt service reserve funding (DSRF)</t>
  </si>
  <si>
    <t>Ratio of the actual output of a power plant over a period of time and its output if it had operated at full nameplate capacity the entire time (Wikipedia)</t>
  </si>
  <si>
    <t>Adapted from Solar PV Pricing Pro Forma, prepared by:</t>
  </si>
  <si>
    <t>Assumed rate of solar panel output degredation over time (per year)</t>
  </si>
  <si>
    <t>DC Capacity Factor * System Size</t>
  </si>
  <si>
    <t>Operation and maintenance costs</t>
  </si>
  <si>
    <r>
      <t xml:space="preserve">Solar Renewable Energy Certificate sale price / mega watt.  Note:  This is </t>
    </r>
    <r>
      <rPr>
        <i/>
        <sz val="11"/>
        <color theme="1"/>
        <rFont val="Calibri"/>
        <family val="2"/>
        <scheme val="minor"/>
      </rPr>
      <t>the</t>
    </r>
    <r>
      <rPr>
        <sz val="11"/>
        <color theme="1"/>
        <rFont val="Calibri"/>
        <family val="2"/>
        <scheme val="minor"/>
      </rPr>
      <t xml:space="preserve"> major driver of the financial viability of a solar project in New Jersey.  The SREC is designed to decline in value over time under the assumption that solar energy production will become more cost competitive over time.</t>
    </r>
  </si>
  <si>
    <t>Particular to the Boro Farm site in Milford.  A lease arrangment is not typical for a solar project.  This figure will be determined through negotiations and driven largely by the real-estate market in the region, i.e., the cost of acquiring land elsewhere.</t>
  </si>
  <si>
    <t>Federal incentive for solar investments currently allow for a tax credit of 30% of the system cost</t>
  </si>
  <si>
    <t>Investment Tax Credit Rate (ITC)</t>
  </si>
  <si>
    <t xml:space="preserve">Modified Accelerated Cost Recovery System (MACRS) is the current tax depreciation system in the United States where the capitalized cost of tangible property is recovered over a specified life by annual deductions for depreciation.  (Wikipedia). </t>
  </si>
  <si>
    <t>The weighted average cost of capital (WACC) is the rate that a company is expected to pay on average to all its security holders to finance its assets (Wikipedia)</t>
  </si>
  <si>
    <t>Milford, NJ Solar PV Pro Forma</t>
  </si>
  <si>
    <t>Input/Output fields</t>
  </si>
  <si>
    <t xml:space="preserve">Original File can be found at : www.ethree.com/.../LTPP/LTPP%20Solar%20Pricing%20Pro%20Forma.xls
</t>
  </si>
</sst>
</file>

<file path=xl/styles.xml><?xml version="1.0" encoding="utf-8"?>
<styleSheet xmlns="http://schemas.openxmlformats.org/spreadsheetml/2006/main">
  <numFmts count="2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&quot;$&quot;#,##0.0000"/>
    <numFmt numFmtId="167" formatCode="0.0"/>
    <numFmt numFmtId="168" formatCode="&quot;$&quot;#,##0.0_);\(&quot;$&quot;#,##0.0\)"/>
    <numFmt numFmtId="169" formatCode="&quot;$&quot;#,##0"/>
    <numFmt numFmtId="170" formatCode="0.000%"/>
    <numFmt numFmtId="171" formatCode="0.000"/>
    <numFmt numFmtId="172" formatCode="_(* #,##0_);_(* \(#,##0\);_(* &quot;-&quot;??_);_(@_)"/>
    <numFmt numFmtId="173" formatCode="0.00000000"/>
    <numFmt numFmtId="174" formatCode="0.0000%"/>
    <numFmt numFmtId="175" formatCode="&quot;$&quot;#,##0.0000_);[Red]\(&quot;$&quot;#,##0.0000\)"/>
    <numFmt numFmtId="176" formatCode="&quot;$&quot;#,##0.0_);[Red]\(&quot;$&quot;#,##0.0\)"/>
    <numFmt numFmtId="177" formatCode="[$-409]mmmm\ d\,\ yyyy;@"/>
    <numFmt numFmtId="178" formatCode="mmmm\ d\,\ yyyy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8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9" tint="-0.249977111117893"/>
      <name val="Arial"/>
      <family val="2"/>
    </font>
    <font>
      <sz val="11"/>
      <color theme="9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color indexed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9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7" fillId="0" borderId="0" xfId="0" applyFont="1"/>
    <xf numFmtId="8" fontId="0" fillId="0" borderId="0" xfId="0" applyNumberFormat="1"/>
    <xf numFmtId="0" fontId="8" fillId="0" borderId="0" xfId="0" applyFont="1"/>
    <xf numFmtId="1" fontId="5" fillId="0" borderId="0" xfId="0" applyNumberFormat="1" applyFont="1"/>
    <xf numFmtId="0" fontId="2" fillId="2" borderId="0" xfId="0" applyFont="1" applyFill="1"/>
    <xf numFmtId="0" fontId="3" fillId="2" borderId="0" xfId="0" applyFont="1" applyFill="1"/>
    <xf numFmtId="0" fontId="5" fillId="0" borderId="0" xfId="0" applyFont="1"/>
    <xf numFmtId="165" fontId="5" fillId="0" borderId="0" xfId="0" applyNumberFormat="1" applyFont="1"/>
    <xf numFmtId="10" fontId="5" fillId="0" borderId="0" xfId="3" applyNumberFormat="1" applyFont="1"/>
    <xf numFmtId="167" fontId="5" fillId="0" borderId="0" xfId="0" applyNumberFormat="1" applyFont="1"/>
    <xf numFmtId="0" fontId="5" fillId="0" borderId="0" xfId="0" applyFont="1" applyFill="1"/>
    <xf numFmtId="0" fontId="5" fillId="0" borderId="0" xfId="0" applyFont="1" applyFill="1" applyBorder="1"/>
    <xf numFmtId="6" fontId="0" fillId="0" borderId="0" xfId="0" applyNumberFormat="1" applyFill="1"/>
    <xf numFmtId="0" fontId="11" fillId="0" borderId="0" xfId="0" applyFont="1"/>
    <xf numFmtId="0" fontId="5" fillId="0" borderId="0" xfId="0" applyFont="1" applyBorder="1"/>
    <xf numFmtId="10" fontId="5" fillId="0" borderId="0" xfId="3" applyNumberFormat="1" applyFont="1" applyBorder="1"/>
    <xf numFmtId="0" fontId="5" fillId="0" borderId="1" xfId="0" applyFont="1" applyBorder="1"/>
    <xf numFmtId="169" fontId="5" fillId="0" borderId="2" xfId="0" applyNumberFormat="1" applyFont="1" applyFill="1" applyBorder="1"/>
    <xf numFmtId="9" fontId="5" fillId="0" borderId="0" xfId="3" applyFont="1" applyBorder="1"/>
    <xf numFmtId="168" fontId="0" fillId="0" borderId="0" xfId="0" applyNumberFormat="1"/>
    <xf numFmtId="0" fontId="0" fillId="0" borderId="0" xfId="0" applyBorder="1"/>
    <xf numFmtId="1" fontId="0" fillId="0" borderId="0" xfId="0" applyNumberFormat="1" applyBorder="1" applyAlignment="1">
      <alignment horizontal="right"/>
    </xf>
    <xf numFmtId="166" fontId="0" fillId="0" borderId="0" xfId="0" applyNumberFormat="1"/>
    <xf numFmtId="0" fontId="2" fillId="2" borderId="3" xfId="0" applyFont="1" applyFill="1" applyBorder="1" applyAlignment="1"/>
    <xf numFmtId="170" fontId="0" fillId="0" borderId="0" xfId="0" applyNumberFormat="1"/>
    <xf numFmtId="171" fontId="0" fillId="0" borderId="0" xfId="0" applyNumberFormat="1"/>
    <xf numFmtId="7" fontId="0" fillId="0" borderId="0" xfId="0" applyNumberFormat="1"/>
    <xf numFmtId="164" fontId="5" fillId="0" borderId="0" xfId="0" applyNumberFormat="1" applyFont="1" applyBorder="1"/>
    <xf numFmtId="172" fontId="5" fillId="0" borderId="0" xfId="1" applyNumberFormat="1" applyFont="1" applyBorder="1"/>
    <xf numFmtId="173" fontId="0" fillId="0" borderId="0" xfId="0" applyNumberFormat="1"/>
    <xf numFmtId="164" fontId="5" fillId="0" borderId="0" xfId="3" applyNumberFormat="1" applyFont="1"/>
    <xf numFmtId="3" fontId="5" fillId="0" borderId="0" xfId="0" applyNumberFormat="1" applyFont="1" applyFill="1"/>
    <xf numFmtId="10" fontId="0" fillId="0" borderId="0" xfId="3" applyNumberFormat="1" applyFont="1"/>
    <xf numFmtId="0" fontId="0" fillId="0" borderId="0" xfId="0" applyFill="1"/>
    <xf numFmtId="164" fontId="0" fillId="0" borderId="0" xfId="0" applyNumberFormat="1" applyFill="1"/>
    <xf numFmtId="6" fontId="0" fillId="0" borderId="0" xfId="0" applyNumberFormat="1"/>
    <xf numFmtId="9" fontId="0" fillId="0" borderId="0" xfId="0" applyNumberFormat="1"/>
    <xf numFmtId="0" fontId="5" fillId="0" borderId="1" xfId="0" applyFont="1" applyFill="1" applyBorder="1"/>
    <xf numFmtId="0" fontId="5" fillId="0" borderId="4" xfId="0" applyFont="1" applyFill="1" applyBorder="1"/>
    <xf numFmtId="169" fontId="5" fillId="0" borderId="0" xfId="0" applyNumberFormat="1" applyFont="1" applyBorder="1"/>
    <xf numFmtId="43" fontId="5" fillId="0" borderId="0" xfId="0" applyNumberFormat="1" applyFont="1" applyFill="1" applyBorder="1"/>
    <xf numFmtId="170" fontId="5" fillId="0" borderId="0" xfId="0" applyNumberFormat="1" applyFont="1" applyFill="1" applyBorder="1"/>
    <xf numFmtId="174" fontId="5" fillId="0" borderId="0" xfId="0" applyNumberFormat="1" applyFont="1" applyFill="1" applyBorder="1"/>
    <xf numFmtId="0" fontId="0" fillId="0" borderId="0" xfId="0" applyFill="1" applyBorder="1"/>
    <xf numFmtId="0" fontId="5" fillId="0" borderId="0" xfId="0" applyFont="1" applyBorder="1" applyAlignment="1"/>
    <xf numFmtId="43" fontId="0" fillId="0" borderId="0" xfId="0" applyNumberFormat="1"/>
    <xf numFmtId="0" fontId="2" fillId="2" borderId="5" xfId="0" applyFont="1" applyFill="1" applyBorder="1"/>
    <xf numFmtId="0" fontId="2" fillId="2" borderId="0" xfId="0" applyFont="1" applyFill="1" applyBorder="1" applyAlignment="1">
      <alignment horizontal="right"/>
    </xf>
    <xf numFmtId="0" fontId="4" fillId="0" borderId="0" xfId="0" applyFont="1"/>
    <xf numFmtId="3" fontId="4" fillId="0" borderId="0" xfId="0" applyNumberFormat="1" applyFont="1" applyFill="1"/>
    <xf numFmtId="0" fontId="4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6" fontId="0" fillId="0" borderId="0" xfId="0" applyNumberFormat="1" applyFill="1" applyBorder="1"/>
    <xf numFmtId="175" fontId="0" fillId="0" borderId="0" xfId="0" applyNumberFormat="1" applyBorder="1"/>
    <xf numFmtId="0" fontId="5" fillId="0" borderId="0" xfId="0" applyFont="1" applyFill="1" applyBorder="1" applyAlignment="1">
      <alignment horizontal="right"/>
    </xf>
    <xf numFmtId="6" fontId="5" fillId="0" borderId="0" xfId="0" applyNumberFormat="1" applyFont="1" applyBorder="1"/>
    <xf numFmtId="6" fontId="0" fillId="0" borderId="0" xfId="0" applyNumberFormat="1" applyBorder="1"/>
    <xf numFmtId="0" fontId="5" fillId="0" borderId="0" xfId="0" applyFont="1" applyBorder="1" applyAlignment="1">
      <alignment horizontal="right"/>
    </xf>
    <xf numFmtId="0" fontId="4" fillId="0" borderId="0" xfId="0" applyFont="1" applyBorder="1"/>
    <xf numFmtId="6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6" fontId="5" fillId="0" borderId="0" xfId="0" applyNumberFormat="1" applyFont="1" applyFill="1" applyBorder="1"/>
    <xf numFmtId="5" fontId="5" fillId="0" borderId="0" xfId="0" applyNumberFormat="1" applyFont="1" applyBorder="1"/>
    <xf numFmtId="5" fontId="5" fillId="0" borderId="0" xfId="0" applyNumberFormat="1" applyFont="1" applyFill="1" applyBorder="1"/>
    <xf numFmtId="0" fontId="4" fillId="0" borderId="0" xfId="0" applyFont="1" applyFill="1" applyBorder="1"/>
    <xf numFmtId="6" fontId="4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/>
    <xf numFmtId="6" fontId="4" fillId="0" borderId="0" xfId="0" applyNumberFormat="1" applyFont="1" applyFill="1"/>
    <xf numFmtId="0" fontId="4" fillId="0" borderId="0" xfId="0" applyFont="1" applyFill="1" applyAlignment="1">
      <alignment horizontal="right"/>
    </xf>
    <xf numFmtId="0" fontId="4" fillId="0" borderId="4" xfId="0" applyFont="1" applyFill="1" applyBorder="1"/>
    <xf numFmtId="6" fontId="4" fillId="0" borderId="4" xfId="0" applyNumberFormat="1" applyFont="1" applyFill="1" applyBorder="1"/>
    <xf numFmtId="0" fontId="4" fillId="0" borderId="4" xfId="0" applyFont="1" applyFill="1" applyBorder="1" applyAlignment="1">
      <alignment horizontal="right"/>
    </xf>
    <xf numFmtId="5" fontId="5" fillId="0" borderId="0" xfId="0" applyNumberFormat="1" applyFont="1" applyFill="1"/>
    <xf numFmtId="0" fontId="5" fillId="0" borderId="0" xfId="0" applyFont="1" applyFill="1" applyAlignment="1">
      <alignment horizontal="right"/>
    </xf>
    <xf numFmtId="5" fontId="0" fillId="0" borderId="0" xfId="0" applyNumberFormat="1" applyFill="1"/>
    <xf numFmtId="5" fontId="0" fillId="0" borderId="0" xfId="0" applyNumberFormat="1" applyFill="1" applyBorder="1"/>
    <xf numFmtId="5" fontId="4" fillId="0" borderId="0" xfId="0" applyNumberFormat="1" applyFont="1" applyFill="1" applyBorder="1"/>
    <xf numFmtId="169" fontId="4" fillId="0" borderId="0" xfId="0" applyNumberFormat="1" applyFont="1" applyFill="1"/>
    <xf numFmtId="169" fontId="4" fillId="0" borderId="0" xfId="0" applyNumberFormat="1" applyFont="1" applyFill="1" applyBorder="1"/>
    <xf numFmtId="6" fontId="4" fillId="0" borderId="0" xfId="2" applyNumberFormat="1" applyFont="1" applyFill="1" applyBorder="1"/>
    <xf numFmtId="169" fontId="4" fillId="0" borderId="0" xfId="0" applyNumberFormat="1" applyFont="1" applyFill="1" applyBorder="1" applyAlignment="1">
      <alignment horizontal="right"/>
    </xf>
    <xf numFmtId="10" fontId="5" fillId="0" borderId="0" xfId="3" applyNumberFormat="1" applyFont="1" applyFill="1"/>
    <xf numFmtId="10" fontId="0" fillId="0" borderId="0" xfId="3" applyNumberFormat="1" applyFont="1" applyFill="1" applyBorder="1"/>
    <xf numFmtId="10" fontId="5" fillId="0" borderId="0" xfId="3" applyNumberFormat="1" applyFont="1" applyFill="1" applyBorder="1"/>
    <xf numFmtId="10" fontId="0" fillId="0" borderId="0" xfId="3" applyNumberFormat="1" applyFont="1" applyFill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7" fontId="0" fillId="0" borderId="0" xfId="0" applyNumberFormat="1" applyBorder="1"/>
    <xf numFmtId="0" fontId="0" fillId="0" borderId="0" xfId="0" applyBorder="1" applyAlignment="1">
      <alignment horizontal="right"/>
    </xf>
    <xf numFmtId="0" fontId="10" fillId="0" borderId="6" xfId="0" applyFont="1" applyBorder="1"/>
    <xf numFmtId="6" fontId="10" fillId="0" borderId="6" xfId="0" applyNumberFormat="1" applyFont="1" applyBorder="1"/>
    <xf numFmtId="0" fontId="10" fillId="0" borderId="6" xfId="0" applyFont="1" applyBorder="1" applyAlignment="1">
      <alignment horizontal="right"/>
    </xf>
    <xf numFmtId="0" fontId="10" fillId="0" borderId="0" xfId="0" applyFont="1" applyFill="1" applyBorder="1"/>
    <xf numFmtId="6" fontId="10" fillId="0" borderId="0" xfId="0" applyNumberFormat="1" applyFont="1" applyFill="1" applyBorder="1"/>
    <xf numFmtId="0" fontId="10" fillId="0" borderId="0" xfId="0" applyFont="1" applyBorder="1" applyAlignment="1">
      <alignment horizontal="right"/>
    </xf>
    <xf numFmtId="0" fontId="10" fillId="0" borderId="7" xfId="0" applyFont="1" applyBorder="1"/>
    <xf numFmtId="6" fontId="10" fillId="0" borderId="7" xfId="0" applyNumberFormat="1" applyFont="1" applyBorder="1"/>
    <xf numFmtId="0" fontId="10" fillId="0" borderId="0" xfId="0" applyFont="1" applyFill="1" applyBorder="1" applyAlignment="1">
      <alignment horizontal="right"/>
    </xf>
    <xf numFmtId="0" fontId="9" fillId="0" borderId="0" xfId="0" applyFont="1"/>
    <xf numFmtId="0" fontId="2" fillId="2" borderId="4" xfId="0" applyFont="1" applyFill="1" applyBorder="1"/>
    <xf numFmtId="1" fontId="3" fillId="2" borderId="4" xfId="3" applyNumberFormat="1" applyFont="1" applyFill="1" applyBorder="1" applyAlignment="1">
      <alignment horizontal="center"/>
    </xf>
    <xf numFmtId="0" fontId="9" fillId="0" borderId="0" xfId="0" applyFont="1" applyFill="1" applyBorder="1"/>
    <xf numFmtId="6" fontId="9" fillId="0" borderId="0" xfId="0" applyNumberFormat="1" applyFont="1" applyFill="1" applyBorder="1"/>
    <xf numFmtId="0" fontId="9" fillId="0" borderId="0" xfId="0" applyFont="1" applyFill="1"/>
    <xf numFmtId="10" fontId="9" fillId="0" borderId="0" xfId="0" applyNumberFormat="1" applyFont="1" applyFill="1" applyBorder="1"/>
    <xf numFmtId="176" fontId="0" fillId="0" borderId="0" xfId="0" applyNumberForma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164" fontId="4" fillId="0" borderId="0" xfId="3" applyNumberFormat="1" applyFont="1" applyFill="1"/>
    <xf numFmtId="6" fontId="4" fillId="0" borderId="0" xfId="0" applyNumberFormat="1" applyFont="1"/>
    <xf numFmtId="169" fontId="0" fillId="0" borderId="0" xfId="0" applyNumberFormat="1"/>
    <xf numFmtId="0" fontId="0" fillId="0" borderId="0" xfId="0" applyAlignment="1">
      <alignment horizontal="right"/>
    </xf>
    <xf numFmtId="172" fontId="0" fillId="0" borderId="0" xfId="1" applyNumberFormat="1" applyFont="1"/>
    <xf numFmtId="1" fontId="2" fillId="2" borderId="4" xfId="0" applyNumberFormat="1" applyFont="1" applyFill="1" applyBorder="1" applyAlignment="1">
      <alignment horizontal="left"/>
    </xf>
    <xf numFmtId="1" fontId="3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5" fillId="0" borderId="0" xfId="0" applyFont="1" applyFill="1" applyBorder="1" applyAlignment="1">
      <alignment horizontal="left"/>
    </xf>
    <xf numFmtId="6" fontId="4" fillId="0" borderId="0" xfId="0" applyNumberFormat="1" applyFont="1" applyFill="1" applyBorder="1" applyAlignment="1">
      <alignment horizontal="center"/>
    </xf>
    <xf numFmtId="38" fontId="0" fillId="0" borderId="0" xfId="1" applyNumberFormat="1" applyFont="1" applyFill="1" applyBorder="1" applyAlignment="1">
      <alignment horizontal="center"/>
    </xf>
    <xf numFmtId="6" fontId="0" fillId="0" borderId="0" xfId="1" applyNumberFormat="1" applyFont="1" applyFill="1"/>
    <xf numFmtId="0" fontId="0" fillId="0" borderId="0" xfId="0" applyFill="1" applyBorder="1" applyAlignment="1">
      <alignment horizontal="center"/>
    </xf>
    <xf numFmtId="6" fontId="5" fillId="0" borderId="0" xfId="0" applyNumberFormat="1" applyFont="1" applyFill="1"/>
    <xf numFmtId="6" fontId="5" fillId="0" borderId="0" xfId="1" applyNumberFormat="1" applyFont="1" applyFill="1"/>
    <xf numFmtId="172" fontId="5" fillId="0" borderId="0" xfId="1" applyNumberFormat="1" applyFont="1" applyFill="1"/>
    <xf numFmtId="38" fontId="3" fillId="2" borderId="4" xfId="0" applyNumberFormat="1" applyFont="1" applyFill="1" applyBorder="1" applyAlignment="1">
      <alignment horizontal="center"/>
    </xf>
    <xf numFmtId="2" fontId="5" fillId="0" borderId="0" xfId="3" applyNumberFormat="1" applyFont="1" applyFill="1"/>
    <xf numFmtId="40" fontId="5" fillId="0" borderId="0" xfId="1" applyNumberFormat="1" applyFont="1" applyFill="1"/>
    <xf numFmtId="0" fontId="2" fillId="2" borderId="1" xfId="0" applyFont="1" applyFill="1" applyBorder="1" applyAlignment="1">
      <alignment horizontal="left"/>
    </xf>
    <xf numFmtId="169" fontId="2" fillId="2" borderId="2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5" fillId="0" borderId="8" xfId="0" applyFont="1" applyFill="1" applyBorder="1" applyAlignment="1">
      <alignment horizontal="left"/>
    </xf>
    <xf numFmtId="169" fontId="5" fillId="0" borderId="9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left"/>
    </xf>
    <xf numFmtId="39" fontId="5" fillId="0" borderId="11" xfId="1" applyNumberFormat="1" applyFont="1" applyFill="1" applyBorder="1" applyAlignment="1">
      <alignment horizontal="center"/>
    </xf>
    <xf numFmtId="169" fontId="5" fillId="0" borderId="1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left"/>
    </xf>
    <xf numFmtId="169" fontId="5" fillId="0" borderId="13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9" fontId="5" fillId="0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right"/>
    </xf>
    <xf numFmtId="6" fontId="0" fillId="0" borderId="0" xfId="0" applyNumberFormat="1" applyFill="1" applyAlignment="1">
      <alignment horizontal="right"/>
    </xf>
    <xf numFmtId="2" fontId="5" fillId="0" borderId="0" xfId="0" applyNumberFormat="1" applyFont="1"/>
    <xf numFmtId="3" fontId="0" fillId="0" borderId="0" xfId="0" applyNumberFormat="1"/>
    <xf numFmtId="169" fontId="5" fillId="0" borderId="0" xfId="3" applyNumberFormat="1" applyFont="1" applyFill="1" applyBorder="1"/>
    <xf numFmtId="10" fontId="4" fillId="0" borderId="0" xfId="3" applyNumberFormat="1" applyFont="1" applyFill="1"/>
    <xf numFmtId="169" fontId="5" fillId="0" borderId="0" xfId="3" applyNumberFormat="1" applyFont="1"/>
    <xf numFmtId="169" fontId="5" fillId="0" borderId="0" xfId="0" applyNumberFormat="1" applyFont="1"/>
    <xf numFmtId="0" fontId="10" fillId="0" borderId="0" xfId="0" applyFont="1" applyBorder="1"/>
    <xf numFmtId="6" fontId="10" fillId="0" borderId="0" xfId="0" applyNumberFormat="1" applyFont="1" applyBorder="1"/>
    <xf numFmtId="0" fontId="12" fillId="0" borderId="0" xfId="0" applyFont="1"/>
    <xf numFmtId="9" fontId="12" fillId="0" borderId="0" xfId="0" applyNumberFormat="1" applyFont="1"/>
    <xf numFmtId="10" fontId="1" fillId="0" borderId="0" xfId="3" applyNumberFormat="1" applyFont="1" applyFill="1" applyBorder="1"/>
    <xf numFmtId="10" fontId="1" fillId="0" borderId="0" xfId="3" applyNumberFormat="1" applyFont="1" applyFill="1" applyBorder="1" applyAlignment="1">
      <alignment horizontal="right"/>
    </xf>
    <xf numFmtId="0" fontId="1" fillId="0" borderId="0" xfId="0" applyFont="1"/>
    <xf numFmtId="10" fontId="13" fillId="0" borderId="0" xfId="3" applyNumberFormat="1" applyFont="1" applyFill="1"/>
    <xf numFmtId="169" fontId="13" fillId="0" borderId="0" xfId="3" applyNumberFormat="1" applyFont="1" applyFill="1" applyBorder="1"/>
    <xf numFmtId="10" fontId="13" fillId="0" borderId="0" xfId="3" applyNumberFormat="1" applyFont="1" applyFill="1" applyBorder="1"/>
    <xf numFmtId="10" fontId="5" fillId="3" borderId="0" xfId="0" applyNumberFormat="1" applyFont="1" applyFill="1" applyBorder="1" applyAlignment="1">
      <alignment horizontal="right"/>
    </xf>
    <xf numFmtId="165" fontId="5" fillId="0" borderId="0" xfId="3" applyNumberFormat="1" applyFont="1"/>
    <xf numFmtId="10" fontId="5" fillId="0" borderId="0" xfId="0" applyNumberFormat="1" applyFont="1"/>
    <xf numFmtId="0" fontId="14" fillId="0" borderId="0" xfId="0" applyFont="1"/>
    <xf numFmtId="9" fontId="14" fillId="0" borderId="0" xfId="3" applyFont="1"/>
    <xf numFmtId="165" fontId="14" fillId="0" borderId="0" xfId="0" applyNumberFormat="1" applyFont="1"/>
    <xf numFmtId="10" fontId="14" fillId="0" borderId="0" xfId="3" applyNumberFormat="1" applyFont="1" applyBorder="1"/>
    <xf numFmtId="0" fontId="14" fillId="0" borderId="0" xfId="0" applyFont="1" applyFill="1"/>
    <xf numFmtId="6" fontId="15" fillId="0" borderId="0" xfId="0" applyNumberFormat="1" applyFont="1"/>
    <xf numFmtId="0" fontId="0" fillId="0" borderId="0" xfId="0" applyFont="1"/>
    <xf numFmtId="165" fontId="0" fillId="0" borderId="0" xfId="0" applyNumberFormat="1" applyFont="1"/>
    <xf numFmtId="5" fontId="9" fillId="0" borderId="0" xfId="0" applyNumberFormat="1" applyFont="1" applyFill="1" applyBorder="1"/>
    <xf numFmtId="166" fontId="10" fillId="0" borderId="0" xfId="0" applyNumberFormat="1" applyFont="1" applyFill="1" applyBorder="1"/>
    <xf numFmtId="0" fontId="18" fillId="0" borderId="0" xfId="0" applyFont="1"/>
    <xf numFmtId="9" fontId="18" fillId="0" borderId="0" xfId="0" applyNumberFormat="1" applyFont="1"/>
    <xf numFmtId="0" fontId="13" fillId="0" borderId="0" xfId="0" applyFont="1"/>
    <xf numFmtId="9" fontId="13" fillId="0" borderId="0" xfId="0" applyNumberFormat="1" applyFont="1"/>
    <xf numFmtId="0" fontId="6" fillId="0" borderId="0" xfId="0" applyFont="1" applyBorder="1"/>
    <xf numFmtId="0" fontId="13" fillId="0" borderId="0" xfId="0" applyFont="1" applyFill="1" applyBorder="1"/>
    <xf numFmtId="0" fontId="16" fillId="2" borderId="0" xfId="0" applyFont="1" applyFill="1" applyAlignment="1">
      <alignment horizontal="center"/>
    </xf>
    <xf numFmtId="0" fontId="18" fillId="0" borderId="0" xfId="0" applyFont="1" applyFill="1"/>
    <xf numFmtId="5" fontId="18" fillId="0" borderId="0" xfId="0" applyNumberFormat="1" applyFont="1" applyFill="1" applyBorder="1"/>
    <xf numFmtId="165" fontId="13" fillId="0" borderId="0" xfId="0" applyNumberFormat="1" applyFont="1"/>
    <xf numFmtId="0" fontId="13" fillId="0" borderId="0" xfId="0" applyFont="1" applyBorder="1"/>
    <xf numFmtId="169" fontId="13" fillId="0" borderId="0" xfId="0" applyNumberFormat="1" applyFont="1" applyFill="1" applyBorder="1"/>
    <xf numFmtId="0" fontId="16" fillId="2" borderId="1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172" fontId="13" fillId="0" borderId="0" xfId="1" applyNumberFormat="1" applyFont="1" applyBorder="1"/>
    <xf numFmtId="169" fontId="13" fillId="0" borderId="0" xfId="0" applyNumberFormat="1" applyFont="1" applyBorder="1"/>
    <xf numFmtId="43" fontId="13" fillId="0" borderId="0" xfId="0" applyNumberFormat="1" applyFont="1" applyFill="1" applyBorder="1"/>
    <xf numFmtId="170" fontId="13" fillId="0" borderId="0" xfId="0" applyNumberFormat="1" applyFont="1" applyFill="1" applyBorder="1"/>
    <xf numFmtId="174" fontId="13" fillId="0" borderId="0" xfId="0" applyNumberFormat="1" applyFont="1" applyFill="1" applyBorder="1"/>
    <xf numFmtId="0" fontId="13" fillId="0" borderId="0" xfId="0" applyFont="1" applyAlignment="1">
      <alignment horizontal="left"/>
    </xf>
    <xf numFmtId="165" fontId="13" fillId="5" borderId="0" xfId="0" applyNumberFormat="1" applyFont="1" applyFill="1"/>
    <xf numFmtId="2" fontId="13" fillId="5" borderId="0" xfId="0" applyNumberFormat="1" applyFont="1" applyFill="1"/>
    <xf numFmtId="0" fontId="13" fillId="6" borderId="0" xfId="0" applyFont="1" applyFill="1"/>
    <xf numFmtId="0" fontId="13" fillId="6" borderId="0" xfId="0" applyFont="1" applyFill="1" applyBorder="1"/>
    <xf numFmtId="164" fontId="13" fillId="5" borderId="0" xfId="0" applyNumberFormat="1" applyFont="1" applyFill="1" applyBorder="1"/>
    <xf numFmtId="10" fontId="13" fillId="5" borderId="0" xfId="3" applyNumberFormat="1" applyFont="1" applyFill="1" applyBorder="1"/>
    <xf numFmtId="1" fontId="13" fillId="5" borderId="0" xfId="0" applyNumberFormat="1" applyFont="1" applyFill="1"/>
    <xf numFmtId="10" fontId="13" fillId="5" borderId="0" xfId="3" applyNumberFormat="1" applyFont="1" applyFill="1"/>
    <xf numFmtId="167" fontId="13" fillId="5" borderId="0" xfId="0" applyNumberFormat="1" applyFont="1" applyFill="1"/>
    <xf numFmtId="164" fontId="13" fillId="5" borderId="0" xfId="3" applyNumberFormat="1" applyFont="1" applyFill="1"/>
    <xf numFmtId="165" fontId="13" fillId="5" borderId="0" xfId="3" applyNumberFormat="1" applyFont="1" applyFill="1"/>
    <xf numFmtId="9" fontId="13" fillId="5" borderId="0" xfId="3" applyFont="1" applyFill="1" applyBorder="1"/>
    <xf numFmtId="1" fontId="13" fillId="5" borderId="0" xfId="0" applyNumberFormat="1" applyFont="1" applyFill="1" applyBorder="1" applyAlignment="1">
      <alignment horizontal="right"/>
    </xf>
    <xf numFmtId="9" fontId="13" fillId="5" borderId="0" xfId="3" applyFont="1" applyFill="1"/>
    <xf numFmtId="3" fontId="13" fillId="5" borderId="0" xfId="0" applyNumberFormat="1" applyFont="1" applyFill="1"/>
    <xf numFmtId="10" fontId="13" fillId="5" borderId="0" xfId="0" applyNumberFormat="1" applyFont="1" applyFill="1" applyBorder="1" applyAlignment="1">
      <alignment horizontal="right"/>
    </xf>
    <xf numFmtId="0" fontId="13" fillId="8" borderId="0" xfId="0" applyFont="1" applyFill="1" applyBorder="1"/>
    <xf numFmtId="6" fontId="13" fillId="4" borderId="0" xfId="0" applyNumberFormat="1" applyFont="1" applyFill="1" applyBorder="1" applyAlignment="1">
      <alignment horizontal="right"/>
    </xf>
    <xf numFmtId="169" fontId="13" fillId="4" borderId="0" xfId="0" applyNumberFormat="1" applyFont="1" applyFill="1" applyBorder="1"/>
    <xf numFmtId="0" fontId="13" fillId="8" borderId="0" xfId="0" applyFont="1" applyFill="1"/>
    <xf numFmtId="172" fontId="13" fillId="4" borderId="0" xfId="1" applyNumberFormat="1" applyFont="1" applyFill="1" applyBorder="1"/>
    <xf numFmtId="6" fontId="13" fillId="4" borderId="0" xfId="0" applyNumberFormat="1" applyFont="1" applyFill="1"/>
    <xf numFmtId="10" fontId="13" fillId="4" borderId="0" xfId="3" applyNumberFormat="1" applyFont="1" applyFill="1" applyBorder="1"/>
    <xf numFmtId="9" fontId="13" fillId="4" borderId="0" xfId="3" applyFont="1" applyFill="1" applyBorder="1"/>
    <xf numFmtId="9" fontId="13" fillId="4" borderId="0" xfId="3" applyFont="1" applyFill="1"/>
    <xf numFmtId="164" fontId="13" fillId="4" borderId="0" xfId="0" applyNumberFormat="1" applyFont="1" applyFill="1"/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2" borderId="0" xfId="0" applyFont="1" applyFill="1" applyAlignment="1"/>
    <xf numFmtId="0" fontId="0" fillId="6" borderId="0" xfId="0" applyFont="1" applyFill="1"/>
    <xf numFmtId="0" fontId="22" fillId="4" borderId="14" xfId="0" applyNumberFormat="1" applyFont="1" applyFill="1" applyBorder="1" applyAlignment="1">
      <alignment horizontal="center" vertical="center" wrapText="1"/>
    </xf>
    <xf numFmtId="10" fontId="0" fillId="5" borderId="0" xfId="0" applyNumberFormat="1" applyFont="1" applyFill="1"/>
    <xf numFmtId="0" fontId="12" fillId="6" borderId="0" xfId="0" applyFont="1" applyFill="1"/>
    <xf numFmtId="169" fontId="12" fillId="5" borderId="0" xfId="0" applyNumberFormat="1" applyFont="1" applyFill="1"/>
    <xf numFmtId="169" fontId="12" fillId="5" borderId="0" xfId="3" applyNumberFormat="1" applyFont="1" applyFill="1"/>
    <xf numFmtId="0" fontId="23" fillId="0" borderId="0" xfId="0" applyFont="1"/>
    <xf numFmtId="0" fontId="16" fillId="2" borderId="10" xfId="0" applyFont="1" applyFill="1" applyBorder="1" applyAlignment="1"/>
    <xf numFmtId="0" fontId="17" fillId="0" borderId="0" xfId="0" applyFont="1"/>
    <xf numFmtId="177" fontId="0" fillId="0" borderId="0" xfId="0" applyNumberFormat="1" applyFont="1" applyAlignment="1">
      <alignment horizontal="left"/>
    </xf>
    <xf numFmtId="0" fontId="0" fillId="0" borderId="0" xfId="0" applyFont="1" applyBorder="1"/>
    <xf numFmtId="0" fontId="0" fillId="7" borderId="14" xfId="0" applyFont="1" applyFill="1" applyBorder="1"/>
    <xf numFmtId="0" fontId="0" fillId="0" borderId="0" xfId="0" applyNumberFormat="1" applyFont="1" applyFill="1" applyBorder="1" applyAlignment="1">
      <alignment horizontal="left" vertical="center" wrapText="1"/>
    </xf>
    <xf numFmtId="0" fontId="0" fillId="2" borderId="14" xfId="0" applyFont="1" applyFill="1" applyBorder="1"/>
    <xf numFmtId="0" fontId="25" fillId="0" borderId="0" xfId="0" applyFont="1"/>
    <xf numFmtId="0" fontId="19" fillId="0" borderId="0" xfId="0" applyFont="1" applyAlignment="1">
      <alignment horizontal="left"/>
    </xf>
    <xf numFmtId="0" fontId="26" fillId="0" borderId="0" xfId="0" applyFont="1"/>
    <xf numFmtId="0" fontId="27" fillId="10" borderId="14" xfId="0" applyFont="1" applyFill="1" applyBorder="1" applyAlignment="1"/>
    <xf numFmtId="178" fontId="6" fillId="0" borderId="0" xfId="0" applyNumberFormat="1" applyFont="1" applyBorder="1" applyAlignment="1">
      <alignment horizontal="left"/>
    </xf>
    <xf numFmtId="0" fontId="6" fillId="9" borderId="14" xfId="0" applyFont="1" applyFill="1" applyBorder="1"/>
    <xf numFmtId="0" fontId="6" fillId="5" borderId="14" xfId="0" applyNumberFormat="1" applyFont="1" applyFill="1" applyBorder="1" applyAlignment="1">
      <alignment horizontal="center" vertical="center" wrapText="1"/>
    </xf>
    <xf numFmtId="178" fontId="13" fillId="0" borderId="0" xfId="0" applyNumberFormat="1" applyFont="1" applyBorder="1" applyAlignment="1">
      <alignment horizontal="left"/>
    </xf>
    <xf numFmtId="0" fontId="13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0" xfId="0" applyFont="1" applyAlignme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Cash Flow</a:t>
            </a:r>
          </a:p>
        </c:rich>
      </c:tx>
      <c:layout>
        <c:manualLayout>
          <c:xMode val="edge"/>
          <c:yMode val="edge"/>
          <c:x val="0.39193621667046702"/>
          <c:y val="4.62597698141519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60203273556234"/>
          <c:y val="0.19264360927144658"/>
          <c:w val="0.72670619772737988"/>
          <c:h val="0.65372503474081411"/>
        </c:manualLayout>
      </c:layout>
      <c:barChart>
        <c:barDir val="col"/>
        <c:grouping val="clustered"/>
        <c:ser>
          <c:idx val="0"/>
          <c:order val="0"/>
          <c:tx>
            <c:v>Cash Flow</c:v>
          </c:tx>
          <c:spPr>
            <a:solidFill>
              <a:srgbClr val="339966"/>
            </a:solidFill>
            <a:ln w="25400">
              <a:noFill/>
            </a:ln>
          </c:spPr>
          <c:cat>
            <c:numRef>
              <c:f>ProForma!$C$35:$AQ$35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ProForma!$C$65:$AQ$65</c:f>
              <c:numCache>
                <c:formatCode>"$"#,##0_);[Red]\("$"#,##0\)</c:formatCode>
                <c:ptCount val="41"/>
                <c:pt idx="0">
                  <c:v>-20535704.697160557</c:v>
                </c:pt>
                <c:pt idx="1">
                  <c:v>11464428.520055111</c:v>
                </c:pt>
                <c:pt idx="2">
                  <c:v>4712470.9146933276</c:v>
                </c:pt>
                <c:pt idx="3">
                  <c:v>3507447.60050683</c:v>
                </c:pt>
                <c:pt idx="4">
                  <c:v>2758601.1653912137</c:v>
                </c:pt>
                <c:pt idx="5">
                  <c:v>2693404.5848115059</c:v>
                </c:pt>
                <c:pt idx="6">
                  <c:v>2116746.2477564504</c:v>
                </c:pt>
                <c:pt idx="7">
                  <c:v>1540596.0303012987</c:v>
                </c:pt>
                <c:pt idx="8">
                  <c:v>1476912.8502939427</c:v>
                </c:pt>
                <c:pt idx="9">
                  <c:v>1413388.569951742</c:v>
                </c:pt>
                <c:pt idx="10">
                  <c:v>1349828.5517067779</c:v>
                </c:pt>
                <c:pt idx="11">
                  <c:v>1231855.9985280531</c:v>
                </c:pt>
                <c:pt idx="12">
                  <c:v>1167576.5356628704</c:v>
                </c:pt>
                <c:pt idx="13">
                  <c:v>1102576.4662567191</c:v>
                </c:pt>
                <c:pt idx="14">
                  <c:v>1036586.9286098931</c:v>
                </c:pt>
                <c:pt idx="15">
                  <c:v>1663945.6143364341</c:v>
                </c:pt>
                <c:pt idx="16">
                  <c:v>-22983.494477741224</c:v>
                </c:pt>
                <c:pt idx="17">
                  <c:v>-17566.687007817029</c:v>
                </c:pt>
                <c:pt idx="18">
                  <c:v>-12166.638796997426</c:v>
                </c:pt>
                <c:pt idx="19">
                  <c:v>-6783.9752257663949</c:v>
                </c:pt>
                <c:pt idx="20">
                  <c:v>-1419.3392062239586</c:v>
                </c:pt>
                <c:pt idx="21">
                  <c:v>-50240.004119695812</c:v>
                </c:pt>
                <c:pt idx="22">
                  <c:v>-44913.424264603178</c:v>
                </c:pt>
                <c:pt idx="23">
                  <c:v>-39606.910314818961</c:v>
                </c:pt>
                <c:pt idx="24">
                  <c:v>-34321.179788752226</c:v>
                </c:pt>
                <c:pt idx="25">
                  <c:v>463366.77997060248</c:v>
                </c:pt>
                <c:pt idx="26">
                  <c:v>-116450.21348710651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axId val="117160576"/>
        <c:axId val="133567232"/>
      </c:barChart>
      <c:catAx>
        <c:axId val="1171605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7845052054643198"/>
              <c:y val="0.9177132648356984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567232"/>
        <c:crosses val="autoZero"/>
        <c:auto val="1"/>
        <c:lblAlgn val="ctr"/>
        <c:lblOffset val="100"/>
        <c:tickLblSkip val="2"/>
        <c:tickMarkSkip val="1"/>
      </c:catAx>
      <c:valAx>
        <c:axId val="1335672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Cash Flow ($)</a:t>
                </a:r>
              </a:p>
            </c:rich>
          </c:tx>
          <c:layout>
            <c:manualLayout>
              <c:xMode val="edge"/>
              <c:yMode val="edge"/>
              <c:x val="3.024574669187154E-2"/>
              <c:y val="0.3853223851605726"/>
            </c:manualLayout>
          </c:layout>
          <c:spPr>
            <a:noFill/>
            <a:ln w="25400">
              <a:noFill/>
            </a:ln>
          </c:spPr>
        </c:title>
        <c:numFmt formatCode="&quot;$&quot;#,##0_);[Red]\(&quot;$&quot;#,##0\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1605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Cash Flow</a:t>
            </a:r>
          </a:p>
        </c:rich>
      </c:tx>
      <c:layout>
        <c:manualLayout>
          <c:xMode val="edge"/>
          <c:yMode val="edge"/>
          <c:x val="0.39193621667046691"/>
          <c:y val="4.62597698141519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60203273556234"/>
          <c:y val="0.19264360927144658"/>
          <c:w val="0.72670619772737988"/>
          <c:h val="0.65372503474081356"/>
        </c:manualLayout>
      </c:layout>
      <c:barChart>
        <c:barDir val="col"/>
        <c:grouping val="clustered"/>
        <c:ser>
          <c:idx val="0"/>
          <c:order val="0"/>
          <c:tx>
            <c:v>Cash Flow</c:v>
          </c:tx>
          <c:spPr>
            <a:solidFill>
              <a:srgbClr val="339966"/>
            </a:solidFill>
            <a:ln w="25400">
              <a:noFill/>
            </a:ln>
          </c:spPr>
          <c:cat>
            <c:numRef>
              <c:f>ProForma!$C$35:$AQ$35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ProForma!$C$65:$AQ$65</c:f>
              <c:numCache>
                <c:formatCode>"$"#,##0_);[Red]\("$"#,##0\)</c:formatCode>
                <c:ptCount val="41"/>
                <c:pt idx="0">
                  <c:v>-20535704.697160557</c:v>
                </c:pt>
                <c:pt idx="1">
                  <c:v>11464428.520055111</c:v>
                </c:pt>
                <c:pt idx="2">
                  <c:v>4712470.9146933276</c:v>
                </c:pt>
                <c:pt idx="3">
                  <c:v>3507447.60050683</c:v>
                </c:pt>
                <c:pt idx="4">
                  <c:v>2758601.1653912137</c:v>
                </c:pt>
                <c:pt idx="5">
                  <c:v>2693404.5848115059</c:v>
                </c:pt>
                <c:pt idx="6">
                  <c:v>2116746.2477564504</c:v>
                </c:pt>
                <c:pt idx="7">
                  <c:v>1540596.0303012987</c:v>
                </c:pt>
                <c:pt idx="8">
                  <c:v>1476912.8502939427</c:v>
                </c:pt>
                <c:pt idx="9">
                  <c:v>1413388.569951742</c:v>
                </c:pt>
                <c:pt idx="10">
                  <c:v>1349828.5517067779</c:v>
                </c:pt>
                <c:pt idx="11">
                  <c:v>1231855.9985280531</c:v>
                </c:pt>
                <c:pt idx="12">
                  <c:v>1167576.5356628704</c:v>
                </c:pt>
                <c:pt idx="13">
                  <c:v>1102576.4662567191</c:v>
                </c:pt>
                <c:pt idx="14">
                  <c:v>1036586.9286098931</c:v>
                </c:pt>
                <c:pt idx="15">
                  <c:v>1663945.6143364341</c:v>
                </c:pt>
                <c:pt idx="16">
                  <c:v>-22983.494477741224</c:v>
                </c:pt>
                <c:pt idx="17">
                  <c:v>-17566.687007817029</c:v>
                </c:pt>
                <c:pt idx="18">
                  <c:v>-12166.638796997426</c:v>
                </c:pt>
                <c:pt idx="19">
                  <c:v>-6783.9752257663949</c:v>
                </c:pt>
                <c:pt idx="20">
                  <c:v>-1419.3392062239586</c:v>
                </c:pt>
                <c:pt idx="21">
                  <c:v>-50240.004119695812</c:v>
                </c:pt>
                <c:pt idx="22">
                  <c:v>-44913.424264603178</c:v>
                </c:pt>
                <c:pt idx="23">
                  <c:v>-39606.910314818961</c:v>
                </c:pt>
                <c:pt idx="24">
                  <c:v>-34321.179788752226</c:v>
                </c:pt>
                <c:pt idx="25">
                  <c:v>463366.77997060248</c:v>
                </c:pt>
                <c:pt idx="26">
                  <c:v>-116450.21348710651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axId val="74020352"/>
        <c:axId val="74022272"/>
      </c:barChart>
      <c:catAx>
        <c:axId val="740203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7845052054643198"/>
              <c:y val="0.9177132648356984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022272"/>
        <c:crosses val="autoZero"/>
        <c:auto val="1"/>
        <c:lblAlgn val="ctr"/>
        <c:lblOffset val="100"/>
        <c:tickLblSkip val="2"/>
        <c:tickMarkSkip val="1"/>
      </c:catAx>
      <c:valAx>
        <c:axId val="740222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Cash Flow ($)</a:t>
                </a:r>
              </a:p>
            </c:rich>
          </c:tx>
          <c:layout>
            <c:manualLayout>
              <c:xMode val="edge"/>
              <c:yMode val="edge"/>
              <c:x val="3.0245746691871522E-2"/>
              <c:y val="0.38532238516057227"/>
            </c:manualLayout>
          </c:layout>
          <c:spPr>
            <a:noFill/>
            <a:ln w="25400">
              <a:noFill/>
            </a:ln>
          </c:spPr>
        </c:title>
        <c:numFmt formatCode="&quot;$&quot;#,##0_);[Red]\(&quot;$&quot;#,##0\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02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78" r="0.750000000000001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33</xdr:row>
      <xdr:rowOff>47625</xdr:rowOff>
    </xdr:from>
    <xdr:to>
      <xdr:col>2</xdr:col>
      <xdr:colOff>247650</xdr:colOff>
      <xdr:row>36</xdr:row>
      <xdr:rowOff>38100</xdr:rowOff>
    </xdr:to>
    <xdr:pic>
      <xdr:nvPicPr>
        <xdr:cNvPr id="3" name="Picture 2" descr="E3 fin log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0340" t="19754" b="65335"/>
        <a:stretch>
          <a:fillRect/>
        </a:stretch>
      </xdr:blipFill>
      <xdr:spPr bwMode="auto">
        <a:xfrm>
          <a:off x="523875" y="1638300"/>
          <a:ext cx="19240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6</xdr:row>
      <xdr:rowOff>133350</xdr:rowOff>
    </xdr:from>
    <xdr:to>
      <xdr:col>2</xdr:col>
      <xdr:colOff>847725</xdr:colOff>
      <xdr:row>11</xdr:row>
      <xdr:rowOff>71383</xdr:rowOff>
    </xdr:to>
    <xdr:pic>
      <xdr:nvPicPr>
        <xdr:cNvPr id="63" name="Picture 62" descr="RU_SIG_EBSPPP_100K_S.t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2925" y="2114550"/>
          <a:ext cx="2505075" cy="890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9525</xdr:rowOff>
    </xdr:from>
    <xdr:to>
      <xdr:col>16</xdr:col>
      <xdr:colOff>400546</xdr:colOff>
      <xdr:row>31</xdr:row>
      <xdr:rowOff>87327</xdr:rowOff>
    </xdr:to>
    <xdr:graphicFrame macro="">
      <xdr:nvGraphicFramePr>
        <xdr:cNvPr id="2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353786</xdr:colOff>
      <xdr:row>5</xdr:row>
      <xdr:rowOff>36098</xdr:rowOff>
    </xdr:from>
    <xdr:to>
      <xdr:col>20</xdr:col>
      <xdr:colOff>31297</xdr:colOff>
      <xdr:row>30</xdr:row>
      <xdr:rowOff>113900</xdr:rowOff>
    </xdr:to>
    <xdr:graphicFrame macro="">
      <xdr:nvGraphicFramePr>
        <xdr:cNvPr id="2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three.com/documents/LTPP/LTPP%20Solar%20Pricing%20Pro%20Form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ashboard"/>
      <sheetName val="Inputs"/>
      <sheetName val="LCOE ProForma"/>
    </sheetNames>
    <sheetDataSet>
      <sheetData sheetId="0" refreshError="1"/>
      <sheetData sheetId="1">
        <row r="25">
          <cell r="H25">
            <v>1.4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44"/>
  <sheetViews>
    <sheetView tabSelected="1" topLeftCell="A19" workbookViewId="0">
      <selection activeCell="J46" sqref="J46"/>
    </sheetView>
  </sheetViews>
  <sheetFormatPr defaultRowHeight="15"/>
  <cols>
    <col min="1" max="1" width="7.5703125" style="171" customWidth="1"/>
    <col min="2" max="2" width="25.42578125" style="171" customWidth="1"/>
    <col min="3" max="3" width="30" style="171" bestFit="1" customWidth="1"/>
    <col min="4" max="256" width="9.140625" style="171"/>
    <col min="257" max="257" width="7.5703125" style="171" customWidth="1"/>
    <col min="258" max="258" width="25.42578125" style="171" customWidth="1"/>
    <col min="259" max="259" width="22.140625" style="171" customWidth="1"/>
    <col min="260" max="512" width="9.140625" style="171"/>
    <col min="513" max="513" width="7.5703125" style="171" customWidth="1"/>
    <col min="514" max="514" width="25.42578125" style="171" customWidth="1"/>
    <col min="515" max="515" width="22.140625" style="171" customWidth="1"/>
    <col min="516" max="768" width="9.140625" style="171"/>
    <col min="769" max="769" width="7.5703125" style="171" customWidth="1"/>
    <col min="770" max="770" width="25.42578125" style="171" customWidth="1"/>
    <col min="771" max="771" width="22.140625" style="171" customWidth="1"/>
    <col min="772" max="1024" width="9.140625" style="171"/>
    <col min="1025" max="1025" width="7.5703125" style="171" customWidth="1"/>
    <col min="1026" max="1026" width="25.42578125" style="171" customWidth="1"/>
    <col min="1027" max="1027" width="22.140625" style="171" customWidth="1"/>
    <col min="1028" max="1280" width="9.140625" style="171"/>
    <col min="1281" max="1281" width="7.5703125" style="171" customWidth="1"/>
    <col min="1282" max="1282" width="25.42578125" style="171" customWidth="1"/>
    <col min="1283" max="1283" width="22.140625" style="171" customWidth="1"/>
    <col min="1284" max="1536" width="9.140625" style="171"/>
    <col min="1537" max="1537" width="7.5703125" style="171" customWidth="1"/>
    <col min="1538" max="1538" width="25.42578125" style="171" customWidth="1"/>
    <col min="1539" max="1539" width="22.140625" style="171" customWidth="1"/>
    <col min="1540" max="1792" width="9.140625" style="171"/>
    <col min="1793" max="1793" width="7.5703125" style="171" customWidth="1"/>
    <col min="1794" max="1794" width="25.42578125" style="171" customWidth="1"/>
    <col min="1795" max="1795" width="22.140625" style="171" customWidth="1"/>
    <col min="1796" max="2048" width="9.140625" style="171"/>
    <col min="2049" max="2049" width="7.5703125" style="171" customWidth="1"/>
    <col min="2050" max="2050" width="25.42578125" style="171" customWidth="1"/>
    <col min="2051" max="2051" width="22.140625" style="171" customWidth="1"/>
    <col min="2052" max="2304" width="9.140625" style="171"/>
    <col min="2305" max="2305" width="7.5703125" style="171" customWidth="1"/>
    <col min="2306" max="2306" width="25.42578125" style="171" customWidth="1"/>
    <col min="2307" max="2307" width="22.140625" style="171" customWidth="1"/>
    <col min="2308" max="2560" width="9.140625" style="171"/>
    <col min="2561" max="2561" width="7.5703125" style="171" customWidth="1"/>
    <col min="2562" max="2562" width="25.42578125" style="171" customWidth="1"/>
    <col min="2563" max="2563" width="22.140625" style="171" customWidth="1"/>
    <col min="2564" max="2816" width="9.140625" style="171"/>
    <col min="2817" max="2817" width="7.5703125" style="171" customWidth="1"/>
    <col min="2818" max="2818" width="25.42578125" style="171" customWidth="1"/>
    <col min="2819" max="2819" width="22.140625" style="171" customWidth="1"/>
    <col min="2820" max="3072" width="9.140625" style="171"/>
    <col min="3073" max="3073" width="7.5703125" style="171" customWidth="1"/>
    <col min="3074" max="3074" width="25.42578125" style="171" customWidth="1"/>
    <col min="3075" max="3075" width="22.140625" style="171" customWidth="1"/>
    <col min="3076" max="3328" width="9.140625" style="171"/>
    <col min="3329" max="3329" width="7.5703125" style="171" customWidth="1"/>
    <col min="3330" max="3330" width="25.42578125" style="171" customWidth="1"/>
    <col min="3331" max="3331" width="22.140625" style="171" customWidth="1"/>
    <col min="3332" max="3584" width="9.140625" style="171"/>
    <col min="3585" max="3585" width="7.5703125" style="171" customWidth="1"/>
    <col min="3586" max="3586" width="25.42578125" style="171" customWidth="1"/>
    <col min="3587" max="3587" width="22.140625" style="171" customWidth="1"/>
    <col min="3588" max="3840" width="9.140625" style="171"/>
    <col min="3841" max="3841" width="7.5703125" style="171" customWidth="1"/>
    <col min="3842" max="3842" width="25.42578125" style="171" customWidth="1"/>
    <col min="3843" max="3843" width="22.140625" style="171" customWidth="1"/>
    <col min="3844" max="4096" width="9.140625" style="171"/>
    <col min="4097" max="4097" width="7.5703125" style="171" customWidth="1"/>
    <col min="4098" max="4098" width="25.42578125" style="171" customWidth="1"/>
    <col min="4099" max="4099" width="22.140625" style="171" customWidth="1"/>
    <col min="4100" max="4352" width="9.140625" style="171"/>
    <col min="4353" max="4353" width="7.5703125" style="171" customWidth="1"/>
    <col min="4354" max="4354" width="25.42578125" style="171" customWidth="1"/>
    <col min="4355" max="4355" width="22.140625" style="171" customWidth="1"/>
    <col min="4356" max="4608" width="9.140625" style="171"/>
    <col min="4609" max="4609" width="7.5703125" style="171" customWidth="1"/>
    <col min="4610" max="4610" width="25.42578125" style="171" customWidth="1"/>
    <col min="4611" max="4611" width="22.140625" style="171" customWidth="1"/>
    <col min="4612" max="4864" width="9.140625" style="171"/>
    <col min="4865" max="4865" width="7.5703125" style="171" customWidth="1"/>
    <col min="4866" max="4866" width="25.42578125" style="171" customWidth="1"/>
    <col min="4867" max="4867" width="22.140625" style="171" customWidth="1"/>
    <col min="4868" max="5120" width="9.140625" style="171"/>
    <col min="5121" max="5121" width="7.5703125" style="171" customWidth="1"/>
    <col min="5122" max="5122" width="25.42578125" style="171" customWidth="1"/>
    <col min="5123" max="5123" width="22.140625" style="171" customWidth="1"/>
    <col min="5124" max="5376" width="9.140625" style="171"/>
    <col min="5377" max="5377" width="7.5703125" style="171" customWidth="1"/>
    <col min="5378" max="5378" width="25.42578125" style="171" customWidth="1"/>
    <col min="5379" max="5379" width="22.140625" style="171" customWidth="1"/>
    <col min="5380" max="5632" width="9.140625" style="171"/>
    <col min="5633" max="5633" width="7.5703125" style="171" customWidth="1"/>
    <col min="5634" max="5634" width="25.42578125" style="171" customWidth="1"/>
    <col min="5635" max="5635" width="22.140625" style="171" customWidth="1"/>
    <col min="5636" max="5888" width="9.140625" style="171"/>
    <col min="5889" max="5889" width="7.5703125" style="171" customWidth="1"/>
    <col min="5890" max="5890" width="25.42578125" style="171" customWidth="1"/>
    <col min="5891" max="5891" width="22.140625" style="171" customWidth="1"/>
    <col min="5892" max="6144" width="9.140625" style="171"/>
    <col min="6145" max="6145" width="7.5703125" style="171" customWidth="1"/>
    <col min="6146" max="6146" width="25.42578125" style="171" customWidth="1"/>
    <col min="6147" max="6147" width="22.140625" style="171" customWidth="1"/>
    <col min="6148" max="6400" width="9.140625" style="171"/>
    <col min="6401" max="6401" width="7.5703125" style="171" customWidth="1"/>
    <col min="6402" max="6402" width="25.42578125" style="171" customWidth="1"/>
    <col min="6403" max="6403" width="22.140625" style="171" customWidth="1"/>
    <col min="6404" max="6656" width="9.140625" style="171"/>
    <col min="6657" max="6657" width="7.5703125" style="171" customWidth="1"/>
    <col min="6658" max="6658" width="25.42578125" style="171" customWidth="1"/>
    <col min="6659" max="6659" width="22.140625" style="171" customWidth="1"/>
    <col min="6660" max="6912" width="9.140625" style="171"/>
    <col min="6913" max="6913" width="7.5703125" style="171" customWidth="1"/>
    <col min="6914" max="6914" width="25.42578125" style="171" customWidth="1"/>
    <col min="6915" max="6915" width="22.140625" style="171" customWidth="1"/>
    <col min="6916" max="7168" width="9.140625" style="171"/>
    <col min="7169" max="7169" width="7.5703125" style="171" customWidth="1"/>
    <col min="7170" max="7170" width="25.42578125" style="171" customWidth="1"/>
    <col min="7171" max="7171" width="22.140625" style="171" customWidth="1"/>
    <col min="7172" max="7424" width="9.140625" style="171"/>
    <col min="7425" max="7425" width="7.5703125" style="171" customWidth="1"/>
    <col min="7426" max="7426" width="25.42578125" style="171" customWidth="1"/>
    <col min="7427" max="7427" width="22.140625" style="171" customWidth="1"/>
    <col min="7428" max="7680" width="9.140625" style="171"/>
    <col min="7681" max="7681" width="7.5703125" style="171" customWidth="1"/>
    <col min="7682" max="7682" width="25.42578125" style="171" customWidth="1"/>
    <col min="7683" max="7683" width="22.140625" style="171" customWidth="1"/>
    <col min="7684" max="7936" width="9.140625" style="171"/>
    <col min="7937" max="7937" width="7.5703125" style="171" customWidth="1"/>
    <col min="7938" max="7938" width="25.42578125" style="171" customWidth="1"/>
    <col min="7939" max="7939" width="22.140625" style="171" customWidth="1"/>
    <col min="7940" max="8192" width="9.140625" style="171"/>
    <col min="8193" max="8193" width="7.5703125" style="171" customWidth="1"/>
    <col min="8194" max="8194" width="25.42578125" style="171" customWidth="1"/>
    <col min="8195" max="8195" width="22.140625" style="171" customWidth="1"/>
    <col min="8196" max="8448" width="9.140625" style="171"/>
    <col min="8449" max="8449" width="7.5703125" style="171" customWidth="1"/>
    <col min="8450" max="8450" width="25.42578125" style="171" customWidth="1"/>
    <col min="8451" max="8451" width="22.140625" style="171" customWidth="1"/>
    <col min="8452" max="8704" width="9.140625" style="171"/>
    <col min="8705" max="8705" width="7.5703125" style="171" customWidth="1"/>
    <col min="8706" max="8706" width="25.42578125" style="171" customWidth="1"/>
    <col min="8707" max="8707" width="22.140625" style="171" customWidth="1"/>
    <col min="8708" max="8960" width="9.140625" style="171"/>
    <col min="8961" max="8961" width="7.5703125" style="171" customWidth="1"/>
    <col min="8962" max="8962" width="25.42578125" style="171" customWidth="1"/>
    <col min="8963" max="8963" width="22.140625" style="171" customWidth="1"/>
    <col min="8964" max="9216" width="9.140625" style="171"/>
    <col min="9217" max="9217" width="7.5703125" style="171" customWidth="1"/>
    <col min="9218" max="9218" width="25.42578125" style="171" customWidth="1"/>
    <col min="9219" max="9219" width="22.140625" style="171" customWidth="1"/>
    <col min="9220" max="9472" width="9.140625" style="171"/>
    <col min="9473" max="9473" width="7.5703125" style="171" customWidth="1"/>
    <col min="9474" max="9474" width="25.42578125" style="171" customWidth="1"/>
    <col min="9475" max="9475" width="22.140625" style="171" customWidth="1"/>
    <col min="9476" max="9728" width="9.140625" style="171"/>
    <col min="9729" max="9729" width="7.5703125" style="171" customWidth="1"/>
    <col min="9730" max="9730" width="25.42578125" style="171" customWidth="1"/>
    <col min="9731" max="9731" width="22.140625" style="171" customWidth="1"/>
    <col min="9732" max="9984" width="9.140625" style="171"/>
    <col min="9985" max="9985" width="7.5703125" style="171" customWidth="1"/>
    <col min="9986" max="9986" width="25.42578125" style="171" customWidth="1"/>
    <col min="9987" max="9987" width="22.140625" style="171" customWidth="1"/>
    <col min="9988" max="10240" width="9.140625" style="171"/>
    <col min="10241" max="10241" width="7.5703125" style="171" customWidth="1"/>
    <col min="10242" max="10242" width="25.42578125" style="171" customWidth="1"/>
    <col min="10243" max="10243" width="22.140625" style="171" customWidth="1"/>
    <col min="10244" max="10496" width="9.140625" style="171"/>
    <col min="10497" max="10497" width="7.5703125" style="171" customWidth="1"/>
    <col min="10498" max="10498" width="25.42578125" style="171" customWidth="1"/>
    <col min="10499" max="10499" width="22.140625" style="171" customWidth="1"/>
    <col min="10500" max="10752" width="9.140625" style="171"/>
    <col min="10753" max="10753" width="7.5703125" style="171" customWidth="1"/>
    <col min="10754" max="10754" width="25.42578125" style="171" customWidth="1"/>
    <col min="10755" max="10755" width="22.140625" style="171" customWidth="1"/>
    <col min="10756" max="11008" width="9.140625" style="171"/>
    <col min="11009" max="11009" width="7.5703125" style="171" customWidth="1"/>
    <col min="11010" max="11010" width="25.42578125" style="171" customWidth="1"/>
    <col min="11011" max="11011" width="22.140625" style="171" customWidth="1"/>
    <col min="11012" max="11264" width="9.140625" style="171"/>
    <col min="11265" max="11265" width="7.5703125" style="171" customWidth="1"/>
    <col min="11266" max="11266" width="25.42578125" style="171" customWidth="1"/>
    <col min="11267" max="11267" width="22.140625" style="171" customWidth="1"/>
    <col min="11268" max="11520" width="9.140625" style="171"/>
    <col min="11521" max="11521" width="7.5703125" style="171" customWidth="1"/>
    <col min="11522" max="11522" width="25.42578125" style="171" customWidth="1"/>
    <col min="11523" max="11523" width="22.140625" style="171" customWidth="1"/>
    <col min="11524" max="11776" width="9.140625" style="171"/>
    <col min="11777" max="11777" width="7.5703125" style="171" customWidth="1"/>
    <col min="11778" max="11778" width="25.42578125" style="171" customWidth="1"/>
    <col min="11779" max="11779" width="22.140625" style="171" customWidth="1"/>
    <col min="11780" max="12032" width="9.140625" style="171"/>
    <col min="12033" max="12033" width="7.5703125" style="171" customWidth="1"/>
    <col min="12034" max="12034" width="25.42578125" style="171" customWidth="1"/>
    <col min="12035" max="12035" width="22.140625" style="171" customWidth="1"/>
    <col min="12036" max="12288" width="9.140625" style="171"/>
    <col min="12289" max="12289" width="7.5703125" style="171" customWidth="1"/>
    <col min="12290" max="12290" width="25.42578125" style="171" customWidth="1"/>
    <col min="12291" max="12291" width="22.140625" style="171" customWidth="1"/>
    <col min="12292" max="12544" width="9.140625" style="171"/>
    <col min="12545" max="12545" width="7.5703125" style="171" customWidth="1"/>
    <col min="12546" max="12546" width="25.42578125" style="171" customWidth="1"/>
    <col min="12547" max="12547" width="22.140625" style="171" customWidth="1"/>
    <col min="12548" max="12800" width="9.140625" style="171"/>
    <col min="12801" max="12801" width="7.5703125" style="171" customWidth="1"/>
    <col min="12802" max="12802" width="25.42578125" style="171" customWidth="1"/>
    <col min="12803" max="12803" width="22.140625" style="171" customWidth="1"/>
    <col min="12804" max="13056" width="9.140625" style="171"/>
    <col min="13057" max="13057" width="7.5703125" style="171" customWidth="1"/>
    <col min="13058" max="13058" width="25.42578125" style="171" customWidth="1"/>
    <col min="13059" max="13059" width="22.140625" style="171" customWidth="1"/>
    <col min="13060" max="13312" width="9.140625" style="171"/>
    <col min="13313" max="13313" width="7.5703125" style="171" customWidth="1"/>
    <col min="13314" max="13314" width="25.42578125" style="171" customWidth="1"/>
    <col min="13315" max="13315" width="22.140625" style="171" customWidth="1"/>
    <col min="13316" max="13568" width="9.140625" style="171"/>
    <col min="13569" max="13569" width="7.5703125" style="171" customWidth="1"/>
    <col min="13570" max="13570" width="25.42578125" style="171" customWidth="1"/>
    <col min="13571" max="13571" width="22.140625" style="171" customWidth="1"/>
    <col min="13572" max="13824" width="9.140625" style="171"/>
    <col min="13825" max="13825" width="7.5703125" style="171" customWidth="1"/>
    <col min="13826" max="13826" width="25.42578125" style="171" customWidth="1"/>
    <col min="13827" max="13827" width="22.140625" style="171" customWidth="1"/>
    <col min="13828" max="14080" width="9.140625" style="171"/>
    <col min="14081" max="14081" width="7.5703125" style="171" customWidth="1"/>
    <col min="14082" max="14082" width="25.42578125" style="171" customWidth="1"/>
    <col min="14083" max="14083" width="22.140625" style="171" customWidth="1"/>
    <col min="14084" max="14336" width="9.140625" style="171"/>
    <col min="14337" max="14337" width="7.5703125" style="171" customWidth="1"/>
    <col min="14338" max="14338" width="25.42578125" style="171" customWidth="1"/>
    <col min="14339" max="14339" width="22.140625" style="171" customWidth="1"/>
    <col min="14340" max="14592" width="9.140625" style="171"/>
    <col min="14593" max="14593" width="7.5703125" style="171" customWidth="1"/>
    <col min="14594" max="14594" width="25.42578125" style="171" customWidth="1"/>
    <col min="14595" max="14595" width="22.140625" style="171" customWidth="1"/>
    <col min="14596" max="14848" width="9.140625" style="171"/>
    <col min="14849" max="14849" width="7.5703125" style="171" customWidth="1"/>
    <col min="14850" max="14850" width="25.42578125" style="171" customWidth="1"/>
    <col min="14851" max="14851" width="22.140625" style="171" customWidth="1"/>
    <col min="14852" max="15104" width="9.140625" style="171"/>
    <col min="15105" max="15105" width="7.5703125" style="171" customWidth="1"/>
    <col min="15106" max="15106" width="25.42578125" style="171" customWidth="1"/>
    <col min="15107" max="15107" width="22.140625" style="171" customWidth="1"/>
    <col min="15108" max="15360" width="9.140625" style="171"/>
    <col min="15361" max="15361" width="7.5703125" style="171" customWidth="1"/>
    <col min="15362" max="15362" width="25.42578125" style="171" customWidth="1"/>
    <col min="15363" max="15363" width="22.140625" style="171" customWidth="1"/>
    <col min="15364" max="15616" width="9.140625" style="171"/>
    <col min="15617" max="15617" width="7.5703125" style="171" customWidth="1"/>
    <col min="15618" max="15618" width="25.42578125" style="171" customWidth="1"/>
    <col min="15619" max="15619" width="22.140625" style="171" customWidth="1"/>
    <col min="15620" max="15872" width="9.140625" style="171"/>
    <col min="15873" max="15873" width="7.5703125" style="171" customWidth="1"/>
    <col min="15874" max="15874" width="25.42578125" style="171" customWidth="1"/>
    <col min="15875" max="15875" width="22.140625" style="171" customWidth="1"/>
    <col min="15876" max="16128" width="9.140625" style="171"/>
    <col min="16129" max="16129" width="7.5703125" style="171" customWidth="1"/>
    <col min="16130" max="16130" width="25.42578125" style="171" customWidth="1"/>
    <col min="16131" max="16131" width="22.140625" style="171" customWidth="1"/>
    <col min="16132" max="16384" width="9.140625" style="171"/>
  </cols>
  <sheetData>
    <row r="3" spans="2:3" ht="36">
      <c r="B3" s="238" t="s">
        <v>159</v>
      </c>
    </row>
    <row r="6" spans="2:3" ht="15.75">
      <c r="B6" s="230" t="s">
        <v>140</v>
      </c>
    </row>
    <row r="10" spans="2:3">
      <c r="B10" s="179"/>
    </row>
    <row r="11" spans="2:3">
      <c r="B11" s="179"/>
    </row>
    <row r="12" spans="2:3">
      <c r="B12" s="179"/>
      <c r="C12" s="179"/>
    </row>
    <row r="13" spans="2:3">
      <c r="B13" s="233" t="s">
        <v>139</v>
      </c>
    </row>
    <row r="17" spans="2:4" ht="15.75">
      <c r="B17" s="240" t="s">
        <v>132</v>
      </c>
    </row>
    <row r="18" spans="2:4">
      <c r="D18" s="234"/>
    </row>
    <row r="19" spans="2:4">
      <c r="B19" s="235" t="s">
        <v>141</v>
      </c>
      <c r="D19" s="234"/>
    </row>
    <row r="20" spans="2:4">
      <c r="B20" s="241" t="s">
        <v>135</v>
      </c>
      <c r="C20" s="245" t="s">
        <v>160</v>
      </c>
    </row>
    <row r="21" spans="2:4">
      <c r="B21" s="243" t="s">
        <v>136</v>
      </c>
      <c r="C21" s="171" t="s">
        <v>137</v>
      </c>
    </row>
    <row r="23" spans="2:4">
      <c r="B23" s="234"/>
      <c r="C23" s="234"/>
    </row>
    <row r="24" spans="2:4" ht="15.75">
      <c r="B24" s="240" t="s">
        <v>133</v>
      </c>
    </row>
    <row r="26" spans="2:4">
      <c r="B26" s="244"/>
      <c r="C26" s="246" t="s">
        <v>123</v>
      </c>
    </row>
    <row r="27" spans="2:4">
      <c r="B27" s="225"/>
      <c r="C27" s="236" t="s">
        <v>138</v>
      </c>
    </row>
    <row r="28" spans="2:4">
      <c r="B28" s="237"/>
      <c r="C28" s="236" t="s">
        <v>134</v>
      </c>
    </row>
    <row r="30" spans="2:4">
      <c r="B30" s="179"/>
    </row>
    <row r="31" spans="2:4">
      <c r="B31" s="242"/>
    </row>
    <row r="33" spans="2:8">
      <c r="B33" s="239" t="s">
        <v>149</v>
      </c>
    </row>
    <row r="38" spans="2:8">
      <c r="B38" s="171" t="s">
        <v>128</v>
      </c>
    </row>
    <row r="39" spans="2:8">
      <c r="B39" s="185" t="s">
        <v>129</v>
      </c>
    </row>
    <row r="40" spans="2:8">
      <c r="B40" s="185" t="s">
        <v>130</v>
      </c>
    </row>
    <row r="41" spans="2:8">
      <c r="B41" s="185" t="s">
        <v>131</v>
      </c>
      <c r="C41" s="179"/>
    </row>
    <row r="42" spans="2:8">
      <c r="B42" s="233">
        <v>40391</v>
      </c>
    </row>
    <row r="44" spans="2:8" ht="13.5" customHeight="1">
      <c r="B44" s="247" t="s">
        <v>161</v>
      </c>
      <c r="C44" s="248"/>
      <c r="D44" s="248"/>
      <c r="E44" s="248"/>
      <c r="F44" s="248"/>
      <c r="G44" s="248"/>
      <c r="H44" s="248"/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B49"/>
  <sheetViews>
    <sheetView workbookViewId="0">
      <selection activeCell="D44" sqref="D44"/>
    </sheetView>
  </sheetViews>
  <sheetFormatPr defaultRowHeight="15"/>
  <cols>
    <col min="1" max="1" width="39.140625" bestFit="1" customWidth="1"/>
  </cols>
  <sheetData>
    <row r="1" spans="1:2" ht="21">
      <c r="A1" s="232" t="s">
        <v>141</v>
      </c>
    </row>
    <row r="3" spans="1:2">
      <c r="A3" s="231" t="s">
        <v>12</v>
      </c>
    </row>
    <row r="4" spans="1:2">
      <c r="A4" s="197" t="s">
        <v>1</v>
      </c>
      <c r="B4" t="s">
        <v>144</v>
      </c>
    </row>
    <row r="5" spans="1:2">
      <c r="A5" s="197" t="s">
        <v>0</v>
      </c>
      <c r="B5" t="s">
        <v>143</v>
      </c>
    </row>
    <row r="6" spans="1:2">
      <c r="A6" s="211" t="s">
        <v>147</v>
      </c>
      <c r="B6" t="s">
        <v>145</v>
      </c>
    </row>
    <row r="7" spans="1:2">
      <c r="A7" s="211" t="s">
        <v>18</v>
      </c>
      <c r="B7" t="s">
        <v>146</v>
      </c>
    </row>
    <row r="8" spans="1:2">
      <c r="A8" s="177"/>
    </row>
    <row r="9" spans="1:2">
      <c r="A9" s="231" t="s">
        <v>21</v>
      </c>
    </row>
    <row r="10" spans="1:2">
      <c r="A10" s="198" t="s">
        <v>22</v>
      </c>
      <c r="B10" t="s">
        <v>148</v>
      </c>
    </row>
    <row r="11" spans="1:2">
      <c r="A11" s="197" t="s">
        <v>24</v>
      </c>
      <c r="B11" t="s">
        <v>150</v>
      </c>
    </row>
    <row r="12" spans="1:2">
      <c r="A12" s="197" t="s">
        <v>125</v>
      </c>
    </row>
    <row r="13" spans="1:2">
      <c r="A13" s="211" t="s">
        <v>23</v>
      </c>
      <c r="B13" t="s">
        <v>151</v>
      </c>
    </row>
    <row r="14" spans="1:2">
      <c r="A14" s="177"/>
    </row>
    <row r="15" spans="1:2">
      <c r="A15" s="223" t="s">
        <v>28</v>
      </c>
    </row>
    <row r="16" spans="1:2">
      <c r="A16" s="197" t="s">
        <v>2</v>
      </c>
      <c r="B16" t="s">
        <v>152</v>
      </c>
    </row>
    <row r="17" spans="1:2">
      <c r="A17" s="197" t="s">
        <v>30</v>
      </c>
    </row>
    <row r="18" spans="1:2">
      <c r="A18" s="197" t="s">
        <v>3</v>
      </c>
    </row>
    <row r="19" spans="1:2">
      <c r="A19" s="197" t="s">
        <v>4</v>
      </c>
    </row>
    <row r="20" spans="1:2">
      <c r="A20" s="214" t="s">
        <v>142</v>
      </c>
    </row>
    <row r="21" spans="1:2">
      <c r="A21" s="214" t="s">
        <v>32</v>
      </c>
    </row>
    <row r="22" spans="1:2">
      <c r="A22" s="197" t="s">
        <v>5</v>
      </c>
    </row>
    <row r="23" spans="1:2">
      <c r="A23" s="197" t="s">
        <v>6</v>
      </c>
    </row>
    <row r="24" spans="1:2">
      <c r="A24" s="227" t="s">
        <v>107</v>
      </c>
      <c r="B24" t="s">
        <v>153</v>
      </c>
    </row>
    <row r="25" spans="1:2">
      <c r="A25" s="224" t="s">
        <v>122</v>
      </c>
    </row>
    <row r="26" spans="1:2">
      <c r="A26" s="227" t="s">
        <v>112</v>
      </c>
      <c r="B26" t="s">
        <v>154</v>
      </c>
    </row>
    <row r="27" spans="1:2">
      <c r="A27" s="197" t="s">
        <v>113</v>
      </c>
    </row>
    <row r="28" spans="1:2">
      <c r="A28" s="197" t="s">
        <v>120</v>
      </c>
    </row>
    <row r="29" spans="1:2">
      <c r="A29" s="197" t="s">
        <v>121</v>
      </c>
    </row>
    <row r="30" spans="1:2">
      <c r="A30" s="177"/>
    </row>
    <row r="31" spans="1:2">
      <c r="A31" s="223" t="s">
        <v>13</v>
      </c>
    </row>
    <row r="32" spans="1:2">
      <c r="A32" s="197" t="s">
        <v>7</v>
      </c>
    </row>
    <row r="33" spans="1:2">
      <c r="A33" s="197" t="s">
        <v>8</v>
      </c>
    </row>
    <row r="34" spans="1:2">
      <c r="A34" s="211" t="s">
        <v>17</v>
      </c>
    </row>
    <row r="35" spans="1:2">
      <c r="A35" s="198" t="s">
        <v>156</v>
      </c>
      <c r="B35" t="s">
        <v>155</v>
      </c>
    </row>
    <row r="36" spans="1:2">
      <c r="A36" s="211" t="s">
        <v>20</v>
      </c>
    </row>
    <row r="37" spans="1:2">
      <c r="A37" s="198" t="s">
        <v>9</v>
      </c>
      <c r="B37" t="s">
        <v>157</v>
      </c>
    </row>
    <row r="38" spans="1:2">
      <c r="A38" s="180"/>
    </row>
    <row r="39" spans="1:2">
      <c r="A39" s="177"/>
    </row>
    <row r="40" spans="1:2">
      <c r="A40" s="223" t="s">
        <v>10</v>
      </c>
    </row>
    <row r="41" spans="1:2">
      <c r="A41" s="197" t="s">
        <v>25</v>
      </c>
    </row>
    <row r="42" spans="1:2">
      <c r="A42" s="214" t="s">
        <v>26</v>
      </c>
    </row>
    <row r="43" spans="1:2">
      <c r="A43" s="197" t="s">
        <v>27</v>
      </c>
    </row>
    <row r="44" spans="1:2">
      <c r="A44" s="197" t="s">
        <v>29</v>
      </c>
    </row>
    <row r="45" spans="1:2">
      <c r="A45" s="198" t="s">
        <v>74</v>
      </c>
    </row>
    <row r="46" spans="1:2">
      <c r="A46" s="198" t="s">
        <v>118</v>
      </c>
      <c r="B46" t="s">
        <v>158</v>
      </c>
    </row>
    <row r="47" spans="1:2">
      <c r="A47" s="211" t="s">
        <v>31</v>
      </c>
    </row>
    <row r="48" spans="1:2">
      <c r="A48" s="211" t="s">
        <v>34</v>
      </c>
    </row>
    <row r="49" spans="1:1">
      <c r="A49" s="211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L58"/>
  <sheetViews>
    <sheetView workbookViewId="0">
      <selection activeCell="H41" sqref="H41"/>
    </sheetView>
  </sheetViews>
  <sheetFormatPr defaultRowHeight="15"/>
  <cols>
    <col min="1" max="1" width="34.28515625" style="177" bestFit="1" customWidth="1"/>
    <col min="2" max="2" width="10.28515625" style="177" customWidth="1"/>
    <col min="3" max="3" width="4.42578125" style="177" customWidth="1"/>
    <col min="4" max="4" width="32.5703125" style="194" bestFit="1" customWidth="1"/>
    <col min="5" max="5" width="15.28515625" style="177" customWidth="1"/>
    <col min="6" max="6" width="6.5703125" style="177" bestFit="1" customWidth="1"/>
    <col min="7" max="7" width="9.7109375" style="177" bestFit="1" customWidth="1"/>
    <col min="8" max="8" width="21.5703125" style="177" bestFit="1" customWidth="1"/>
    <col min="9" max="9" width="16.42578125" style="177" customWidth="1"/>
    <col min="10" max="11" width="9" style="177" bestFit="1" customWidth="1"/>
    <col min="12" max="16384" width="9.140625" style="177"/>
  </cols>
  <sheetData>
    <row r="1" spans="1:9">
      <c r="A1" s="222" t="s">
        <v>123</v>
      </c>
      <c r="B1" s="222"/>
      <c r="D1" s="221" t="s">
        <v>124</v>
      </c>
      <c r="E1" s="221"/>
    </row>
    <row r="2" spans="1:9">
      <c r="A2" s="222"/>
      <c r="B2" s="222"/>
      <c r="D2" s="221"/>
      <c r="E2" s="221"/>
    </row>
    <row r="3" spans="1:9">
      <c r="A3" s="181" t="s">
        <v>12</v>
      </c>
      <c r="B3" s="181"/>
      <c r="C3" s="181"/>
      <c r="D3" s="181"/>
      <c r="E3" s="181"/>
      <c r="H3" s="181" t="s">
        <v>127</v>
      </c>
      <c r="I3" s="181"/>
    </row>
    <row r="4" spans="1:9">
      <c r="A4" s="197" t="s">
        <v>1</v>
      </c>
      <c r="B4" s="195">
        <v>3.75</v>
      </c>
      <c r="D4" s="211" t="s">
        <v>16</v>
      </c>
      <c r="E4" s="212">
        <f>ProForma!C9</f>
        <v>694630.8714506937</v>
      </c>
      <c r="H4" s="182" t="s">
        <v>117</v>
      </c>
      <c r="I4" s="183">
        <f>ProForma!M8</f>
        <v>5562356.9484818541</v>
      </c>
    </row>
    <row r="5" spans="1:9">
      <c r="A5" s="197" t="s">
        <v>0</v>
      </c>
      <c r="B5" s="196">
        <v>6.66</v>
      </c>
      <c r="C5" s="184"/>
      <c r="D5" s="211" t="s">
        <v>18</v>
      </c>
      <c r="E5" s="213">
        <f>ProForma!C10</f>
        <v>25669630.871450692</v>
      </c>
      <c r="H5" s="175" t="s">
        <v>126</v>
      </c>
      <c r="I5" s="176">
        <f>ProForma!M9</f>
        <v>0.18521901661903514</v>
      </c>
    </row>
    <row r="6" spans="1:9">
      <c r="D6" s="185"/>
      <c r="E6" s="186"/>
    </row>
    <row r="7" spans="1:9">
      <c r="A7" s="187" t="s">
        <v>21</v>
      </c>
      <c r="B7" s="188"/>
      <c r="C7" s="188"/>
      <c r="D7" s="188"/>
      <c r="E7" s="188"/>
    </row>
    <row r="8" spans="1:9">
      <c r="A8" s="198" t="s">
        <v>22</v>
      </c>
      <c r="B8" s="199">
        <v>0.13450000000000001</v>
      </c>
      <c r="D8" s="211" t="s">
        <v>23</v>
      </c>
      <c r="E8" s="215">
        <f>ProForma!C15</f>
        <v>7846.9452000000001</v>
      </c>
    </row>
    <row r="9" spans="1:9">
      <c r="A9" s="197" t="s">
        <v>24</v>
      </c>
      <c r="B9" s="200">
        <v>7.4999999999999997E-3</v>
      </c>
      <c r="D9" s="185"/>
      <c r="E9" s="189"/>
    </row>
    <row r="10" spans="1:9">
      <c r="A10" s="197" t="s">
        <v>125</v>
      </c>
      <c r="B10" s="201">
        <v>25</v>
      </c>
      <c r="D10" s="185"/>
      <c r="E10" s="189"/>
    </row>
    <row r="11" spans="1:9">
      <c r="D11" s="185"/>
      <c r="E11" s="189"/>
    </row>
    <row r="12" spans="1:9">
      <c r="A12" s="181" t="s">
        <v>28</v>
      </c>
      <c r="B12" s="181"/>
      <c r="C12" s="181"/>
      <c r="D12" s="181"/>
      <c r="E12" s="181"/>
    </row>
    <row r="13" spans="1:9">
      <c r="A13" s="197" t="s">
        <v>2</v>
      </c>
      <c r="B13" s="195">
        <v>20</v>
      </c>
      <c r="D13" s="214" t="str">
        <f>""&amp;B16&amp;"yr"&amp;" inverter replacement cost"</f>
        <v>10yr inverter replacement cost</v>
      </c>
      <c r="E13" s="216">
        <f>ProForma!C23</f>
        <v>1665000</v>
      </c>
    </row>
    <row r="14" spans="1:9">
      <c r="A14" s="197" t="s">
        <v>30</v>
      </c>
      <c r="B14" s="202">
        <v>0.02</v>
      </c>
      <c r="D14" s="214" t="s">
        <v>32</v>
      </c>
      <c r="E14" s="216">
        <f>ProForma!C24</f>
        <v>166500</v>
      </c>
    </row>
    <row r="15" spans="1:9">
      <c r="A15" s="197" t="s">
        <v>3</v>
      </c>
      <c r="B15" s="195">
        <v>0.25</v>
      </c>
      <c r="D15" s="185"/>
      <c r="E15" s="189"/>
    </row>
    <row r="16" spans="1:9">
      <c r="A16" s="197" t="s">
        <v>4</v>
      </c>
      <c r="B16" s="203">
        <v>10</v>
      </c>
      <c r="D16" s="180"/>
      <c r="E16" s="186"/>
    </row>
    <row r="17" spans="1:12">
      <c r="A17" s="197" t="s">
        <v>5</v>
      </c>
      <c r="B17" s="195">
        <v>20</v>
      </c>
      <c r="D17" s="180"/>
      <c r="E17" s="186"/>
    </row>
    <row r="18" spans="1:12">
      <c r="A18" s="197" t="s">
        <v>6</v>
      </c>
      <c r="B18" s="202">
        <v>0.02</v>
      </c>
      <c r="D18" s="180"/>
      <c r="E18" s="180"/>
    </row>
    <row r="19" spans="1:12">
      <c r="A19" s="227" t="s">
        <v>107</v>
      </c>
      <c r="B19" s="228">
        <v>200</v>
      </c>
      <c r="D19" s="177"/>
    </row>
    <row r="20" spans="1:12">
      <c r="A20" s="224" t="s">
        <v>122</v>
      </c>
      <c r="B20" s="226">
        <v>0.02</v>
      </c>
      <c r="D20" s="177"/>
    </row>
    <row r="21" spans="1:12">
      <c r="A21" s="227" t="s">
        <v>112</v>
      </c>
      <c r="B21" s="229">
        <v>120000</v>
      </c>
      <c r="D21" s="177"/>
      <c r="F21" s="185"/>
    </row>
    <row r="22" spans="1:12">
      <c r="A22" s="197" t="s">
        <v>113</v>
      </c>
      <c r="B22" s="204">
        <v>0.02</v>
      </c>
      <c r="D22" s="177"/>
      <c r="F22" s="185"/>
    </row>
    <row r="23" spans="1:12">
      <c r="A23" s="197" t="s">
        <v>120</v>
      </c>
      <c r="B23" s="205">
        <v>0.06</v>
      </c>
      <c r="D23" s="177"/>
      <c r="F23" s="185"/>
      <c r="G23" s="190"/>
    </row>
    <row r="24" spans="1:12">
      <c r="A24" s="197" t="s">
        <v>121</v>
      </c>
      <c r="B24" s="204">
        <v>2.5000000000000001E-2</v>
      </c>
      <c r="D24" s="177"/>
      <c r="F24" s="185"/>
      <c r="G24" s="190"/>
    </row>
    <row r="25" spans="1:12">
      <c r="D25" s="177"/>
      <c r="G25" s="190"/>
    </row>
    <row r="26" spans="1:12">
      <c r="A26" s="181" t="s">
        <v>13</v>
      </c>
      <c r="B26" s="181"/>
      <c r="C26" s="181"/>
      <c r="D26" s="181"/>
      <c r="E26" s="181"/>
      <c r="G26" s="190"/>
    </row>
    <row r="27" spans="1:12">
      <c r="A27" s="197" t="s">
        <v>7</v>
      </c>
      <c r="B27" s="202">
        <v>0.35</v>
      </c>
      <c r="D27" s="211" t="s">
        <v>17</v>
      </c>
      <c r="E27" s="217">
        <f>ProForma!H9</f>
        <v>0.40849999999999997</v>
      </c>
      <c r="H27" s="185"/>
      <c r="I27" s="191"/>
      <c r="J27" s="191"/>
      <c r="K27" s="192"/>
      <c r="L27" s="193"/>
    </row>
    <row r="28" spans="1:12">
      <c r="A28" s="197" t="s">
        <v>8</v>
      </c>
      <c r="B28" s="202">
        <v>0.09</v>
      </c>
      <c r="D28" s="211" t="s">
        <v>20</v>
      </c>
      <c r="E28" s="218">
        <f>ProForma!H11</f>
        <v>0.15</v>
      </c>
      <c r="H28" s="185"/>
      <c r="I28" s="191"/>
      <c r="J28" s="191"/>
      <c r="K28" s="192"/>
      <c r="L28" s="193"/>
    </row>
    <row r="29" spans="1:12">
      <c r="A29" s="198" t="s">
        <v>19</v>
      </c>
      <c r="B29" s="206">
        <v>0.3</v>
      </c>
      <c r="D29" s="177"/>
      <c r="H29" s="185"/>
      <c r="I29" s="191"/>
      <c r="J29" s="191"/>
      <c r="K29" s="192"/>
      <c r="L29" s="193"/>
    </row>
    <row r="30" spans="1:12">
      <c r="A30" s="198" t="s">
        <v>9</v>
      </c>
      <c r="B30" s="207">
        <v>5</v>
      </c>
      <c r="D30" s="177"/>
    </row>
    <row r="31" spans="1:12">
      <c r="A31" s="180"/>
      <c r="D31" s="177"/>
    </row>
    <row r="32" spans="1:12">
      <c r="D32" s="177"/>
    </row>
    <row r="33" spans="1:5">
      <c r="A33" s="181" t="s">
        <v>10</v>
      </c>
      <c r="B33" s="181"/>
      <c r="C33" s="181"/>
      <c r="D33" s="181"/>
      <c r="E33" s="181"/>
    </row>
    <row r="34" spans="1:5">
      <c r="A34" s="197" t="s">
        <v>25</v>
      </c>
      <c r="B34" s="208">
        <v>0.8</v>
      </c>
      <c r="D34" s="214" t="s">
        <v>26</v>
      </c>
      <c r="E34" s="219">
        <f>ProForma!H17</f>
        <v>0.19999999999999996</v>
      </c>
    </row>
    <row r="35" spans="1:5">
      <c r="A35" s="197" t="s">
        <v>27</v>
      </c>
      <c r="B35" s="204">
        <v>0.11</v>
      </c>
      <c r="D35" s="211" t="s">
        <v>31</v>
      </c>
      <c r="E35" s="220">
        <f>ProForma!H22</f>
        <v>5.5E-2</v>
      </c>
    </row>
    <row r="36" spans="1:5">
      <c r="A36" s="197" t="s">
        <v>29</v>
      </c>
      <c r="B36" s="209">
        <v>15</v>
      </c>
      <c r="D36" s="211" t="s">
        <v>34</v>
      </c>
      <c r="E36" s="213">
        <f>ProForma!H25</f>
        <v>20535704.697160557</v>
      </c>
    </row>
    <row r="37" spans="1:5">
      <c r="A37" s="198" t="s">
        <v>74</v>
      </c>
      <c r="B37" s="210">
        <v>0.1</v>
      </c>
      <c r="D37" s="211" t="s">
        <v>35</v>
      </c>
      <c r="E37" s="213">
        <f>ProForma!H26</f>
        <v>5133926.1742901374</v>
      </c>
    </row>
    <row r="38" spans="1:5">
      <c r="A38" s="198" t="s">
        <v>118</v>
      </c>
      <c r="B38" s="202">
        <v>8.2500000000000004E-2</v>
      </c>
      <c r="D38" s="177"/>
    </row>
    <row r="39" spans="1:5">
      <c r="D39" s="177"/>
    </row>
    <row r="40" spans="1:5">
      <c r="B40" s="178"/>
      <c r="D40" s="177"/>
    </row>
    <row r="41" spans="1:5">
      <c r="D41" s="177"/>
    </row>
    <row r="42" spans="1:5">
      <c r="D42" s="177"/>
    </row>
    <row r="43" spans="1:5">
      <c r="D43" s="177"/>
    </row>
    <row r="44" spans="1:5">
      <c r="D44" s="177"/>
    </row>
    <row r="45" spans="1:5">
      <c r="D45" s="177"/>
    </row>
    <row r="46" spans="1:5">
      <c r="D46" s="177"/>
    </row>
    <row r="47" spans="1:5">
      <c r="D47" s="177"/>
    </row>
    <row r="48" spans="1:5">
      <c r="D48" s="177"/>
    </row>
    <row r="49" spans="4:4">
      <c r="D49" s="177"/>
    </row>
    <row r="50" spans="4:4">
      <c r="D50" s="177"/>
    </row>
    <row r="51" spans="4:4">
      <c r="D51" s="177"/>
    </row>
    <row r="52" spans="4:4">
      <c r="D52" s="177"/>
    </row>
    <row r="53" spans="4:4">
      <c r="D53" s="177"/>
    </row>
    <row r="54" spans="4:4">
      <c r="D54" s="177"/>
    </row>
    <row r="55" spans="4:4">
      <c r="D55" s="177"/>
    </row>
    <row r="56" spans="4:4">
      <c r="D56" s="177"/>
    </row>
    <row r="57" spans="4:4">
      <c r="D57" s="177"/>
    </row>
    <row r="58" spans="4:4">
      <c r="D58" s="177"/>
    </row>
  </sheetData>
  <mergeCells count="8">
    <mergeCell ref="A33:E33"/>
    <mergeCell ref="H3:I3"/>
    <mergeCell ref="D1:E2"/>
    <mergeCell ref="A1:B2"/>
    <mergeCell ref="A26:E26"/>
    <mergeCell ref="A12:E12"/>
    <mergeCell ref="A7:E7"/>
    <mergeCell ref="A3:E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1" tint="0.499984740745262"/>
  </sheetPr>
  <dimension ref="A1:AR146"/>
  <sheetViews>
    <sheetView zoomScale="55" zoomScaleNormal="55" workbookViewId="0">
      <selection activeCell="C10" sqref="C10"/>
    </sheetView>
  </sheetViews>
  <sheetFormatPr defaultRowHeight="15"/>
  <cols>
    <col min="2" max="2" width="48.85546875" customWidth="1"/>
    <col min="3" max="3" width="18.85546875" bestFit="1" customWidth="1"/>
    <col min="4" max="4" width="19.140625" customWidth="1"/>
    <col min="5" max="5" width="23" customWidth="1"/>
    <col min="6" max="6" width="15.28515625" bestFit="1" customWidth="1"/>
    <col min="7" max="7" width="15.7109375" bestFit="1" customWidth="1"/>
    <col min="8" max="9" width="15.28515625" bestFit="1" customWidth="1"/>
    <col min="10" max="10" width="22.7109375" customWidth="1"/>
    <col min="11" max="11" width="15.7109375" bestFit="1" customWidth="1"/>
    <col min="12" max="12" width="15" bestFit="1" customWidth="1"/>
    <col min="13" max="13" width="17.5703125" customWidth="1"/>
    <col min="14" max="14" width="15.7109375" bestFit="1" customWidth="1"/>
    <col min="15" max="15" width="15.28515625" bestFit="1" customWidth="1"/>
    <col min="16" max="16" width="15.7109375" bestFit="1" customWidth="1"/>
    <col min="17" max="17" width="15.28515625" bestFit="1" customWidth="1"/>
    <col min="18" max="18" width="15.7109375" bestFit="1" customWidth="1"/>
    <col min="19" max="19" width="13.85546875" bestFit="1" customWidth="1"/>
    <col min="20" max="20" width="15.28515625" bestFit="1" customWidth="1"/>
    <col min="21" max="22" width="13.85546875" bestFit="1" customWidth="1"/>
    <col min="23" max="24" width="14.28515625" bestFit="1" customWidth="1"/>
    <col min="25" max="25" width="13.85546875" bestFit="1" customWidth="1"/>
    <col min="26" max="27" width="14.5703125" bestFit="1" customWidth="1"/>
    <col min="28" max="28" width="15.28515625" bestFit="1" customWidth="1"/>
    <col min="29" max="29" width="13.42578125" bestFit="1" customWidth="1"/>
    <col min="30" max="43" width="10" bestFit="1" customWidth="1"/>
    <col min="44" max="44" width="33" bestFit="1" customWidth="1"/>
  </cols>
  <sheetData>
    <row r="1" spans="2:28">
      <c r="B1" t="s">
        <v>111</v>
      </c>
      <c r="E1" t="s">
        <v>115</v>
      </c>
    </row>
    <row r="2" spans="2:28" ht="23.25">
      <c r="B2" s="3" t="s">
        <v>103</v>
      </c>
      <c r="G2" s="4"/>
      <c r="H2" s="4"/>
    </row>
    <row r="3" spans="2:28">
      <c r="B3" s="5" t="s">
        <v>11</v>
      </c>
    </row>
    <row r="4" spans="2:28">
      <c r="G4" s="6"/>
    </row>
    <row r="6" spans="2:28">
      <c r="B6" s="7" t="s">
        <v>12</v>
      </c>
      <c r="C6" s="8"/>
      <c r="E6" s="7" t="s">
        <v>13</v>
      </c>
      <c r="F6" s="8"/>
      <c r="G6" s="8"/>
      <c r="H6" s="8"/>
      <c r="J6" s="7" t="s">
        <v>14</v>
      </c>
      <c r="K6" s="8"/>
      <c r="L6" s="8"/>
      <c r="M6" s="8"/>
    </row>
    <row r="7" spans="2:28">
      <c r="B7" s="165" t="s">
        <v>1</v>
      </c>
      <c r="C7" s="167">
        <f>'Inputs and Outputs'!B4</f>
        <v>3.75</v>
      </c>
      <c r="D7" s="9"/>
      <c r="E7" s="9" t="s">
        <v>7</v>
      </c>
      <c r="F7" s="9"/>
      <c r="G7" s="9"/>
      <c r="H7" s="11">
        <f>'Inputs and Outputs'!B27</f>
        <v>0.35</v>
      </c>
      <c r="I7" s="9"/>
      <c r="J7" s="106"/>
      <c r="K7" s="106"/>
      <c r="L7" s="106"/>
      <c r="M7" s="174"/>
    </row>
    <row r="8" spans="2:28">
      <c r="B8" s="9" t="s">
        <v>0</v>
      </c>
      <c r="C8" s="146">
        <f>'Inputs and Outputs'!B5</f>
        <v>6.66</v>
      </c>
      <c r="D8" s="10"/>
      <c r="E8" s="9" t="s">
        <v>8</v>
      </c>
      <c r="F8" s="9"/>
      <c r="G8" s="9"/>
      <c r="H8" s="11">
        <f>'Inputs and Outputs'!B28</f>
        <v>0.09</v>
      </c>
      <c r="I8" s="9"/>
      <c r="J8" s="70" t="s">
        <v>15</v>
      </c>
      <c r="K8" s="67"/>
      <c r="L8" s="67"/>
      <c r="M8" s="80">
        <f>NPV(H20,D65:AQ65)+C65</f>
        <v>5562356.9484818541</v>
      </c>
    </row>
    <row r="9" spans="2:28">
      <c r="B9" s="9" t="s">
        <v>16</v>
      </c>
      <c r="C9" s="145">
        <f>-PMT(H18, H19,+C7*C8*H17*10^6)</f>
        <v>694630.8714506937</v>
      </c>
      <c r="D9" s="16"/>
      <c r="E9" s="17" t="s">
        <v>17</v>
      </c>
      <c r="F9" s="17"/>
      <c r="G9" s="17"/>
      <c r="H9" s="18">
        <f>H7+H8*(1-H7)</f>
        <v>0.40849999999999997</v>
      </c>
      <c r="I9" s="9"/>
      <c r="J9" s="154" t="s">
        <v>116</v>
      </c>
      <c r="K9" s="154"/>
      <c r="L9" s="154"/>
      <c r="M9" s="155">
        <f>IRR(C65:AQ65)</f>
        <v>0.18521901661903514</v>
      </c>
    </row>
    <row r="10" spans="2:28">
      <c r="B10" s="19" t="s">
        <v>18</v>
      </c>
      <c r="C10" s="20">
        <f>C8*C7*10^6+C9</f>
        <v>25669630.871450692</v>
      </c>
      <c r="D10" s="9"/>
      <c r="E10" s="17" t="s">
        <v>19</v>
      </c>
      <c r="F10" s="17"/>
      <c r="G10" s="17"/>
      <c r="H10" s="21">
        <f>'Inputs and Outputs'!B29</f>
        <v>0.3</v>
      </c>
      <c r="I10" s="9"/>
    </row>
    <row r="11" spans="2:28">
      <c r="D11" s="9"/>
      <c r="E11" s="17" t="s">
        <v>20</v>
      </c>
      <c r="F11" s="17"/>
      <c r="G11" s="17"/>
      <c r="H11" s="21">
        <f>0.5*H10</f>
        <v>0.15</v>
      </c>
      <c r="I11" s="9"/>
      <c r="P11" s="22"/>
    </row>
    <row r="12" spans="2:28">
      <c r="B12" s="9"/>
      <c r="C12" s="9"/>
      <c r="D12" s="9"/>
      <c r="E12" s="14" t="s">
        <v>9</v>
      </c>
      <c r="F12" s="17"/>
      <c r="G12" s="23"/>
      <c r="H12" s="24">
        <f>'Inputs and Outputs'!B30</f>
        <v>5</v>
      </c>
      <c r="I12" s="9"/>
      <c r="O12" s="25"/>
    </row>
    <row r="13" spans="2:28">
      <c r="B13" s="26" t="s">
        <v>21</v>
      </c>
      <c r="C13" s="8"/>
      <c r="D13" s="9"/>
      <c r="E13" s="14"/>
      <c r="F13" s="9"/>
      <c r="G13" s="9"/>
      <c r="H13" s="9"/>
      <c r="I13" s="9"/>
      <c r="N13" s="27"/>
      <c r="P13" s="28"/>
      <c r="Y13" s="29"/>
    </row>
    <row r="14" spans="2:28">
      <c r="B14" s="17" t="s">
        <v>22</v>
      </c>
      <c r="C14" s="30">
        <f>'Inputs and Outputs'!B8</f>
        <v>0.13450000000000001</v>
      </c>
      <c r="D14" s="9"/>
      <c r="I14" s="9"/>
      <c r="O14" s="25"/>
      <c r="AB14" s="4"/>
    </row>
    <row r="15" spans="2:28">
      <c r="B15" s="17" t="s">
        <v>23</v>
      </c>
      <c r="C15" s="31">
        <f>8760*C14*C8</f>
        <v>7846.9452000000001</v>
      </c>
      <c r="D15" s="9"/>
      <c r="E15" s="7" t="s">
        <v>10</v>
      </c>
      <c r="F15" s="8"/>
      <c r="G15" s="8"/>
      <c r="H15" s="8"/>
      <c r="I15" s="9"/>
    </row>
    <row r="16" spans="2:28">
      <c r="B16" s="165" t="s">
        <v>24</v>
      </c>
      <c r="C16" s="168">
        <f>'Inputs and Outputs'!B9</f>
        <v>7.4999999999999997E-3</v>
      </c>
      <c r="D16" s="9"/>
      <c r="E16" s="165" t="s">
        <v>25</v>
      </c>
      <c r="F16" s="165"/>
      <c r="G16" s="165"/>
      <c r="H16" s="166">
        <f>'Inputs and Outputs'!B34</f>
        <v>0.8</v>
      </c>
      <c r="I16" s="9"/>
      <c r="O16" s="25"/>
      <c r="P16" s="32"/>
    </row>
    <row r="17" spans="2:15">
      <c r="B17" s="9" t="s">
        <v>110</v>
      </c>
      <c r="C17" s="6">
        <f>'Inputs and Outputs'!B10</f>
        <v>25</v>
      </c>
      <c r="D17" s="9"/>
      <c r="E17" s="165" t="s">
        <v>26</v>
      </c>
      <c r="F17" s="165"/>
      <c r="G17" s="165"/>
      <c r="H17" s="166">
        <f>1-H16</f>
        <v>0.19999999999999996</v>
      </c>
      <c r="I17" s="9"/>
    </row>
    <row r="18" spans="2:15">
      <c r="D18" s="9"/>
      <c r="E18" s="9" t="s">
        <v>27</v>
      </c>
      <c r="F18" s="9"/>
      <c r="G18" s="9"/>
      <c r="H18" s="33">
        <f>'Inputs and Outputs'!B35</f>
        <v>0.11</v>
      </c>
      <c r="I18" s="9"/>
      <c r="O18" s="25"/>
    </row>
    <row r="19" spans="2:15">
      <c r="B19" s="7" t="s">
        <v>28</v>
      </c>
      <c r="C19" s="8"/>
      <c r="D19" s="9"/>
      <c r="E19" s="13" t="s">
        <v>29</v>
      </c>
      <c r="F19" s="13"/>
      <c r="G19" s="13"/>
      <c r="H19" s="34">
        <f>'Inputs and Outputs'!B36</f>
        <v>15</v>
      </c>
      <c r="I19" s="9"/>
    </row>
    <row r="20" spans="2:15">
      <c r="B20" s="165" t="s">
        <v>2</v>
      </c>
      <c r="C20" s="167">
        <f>'Inputs and Outputs'!B13</f>
        <v>20</v>
      </c>
      <c r="D20" s="9"/>
      <c r="E20" s="14" t="s">
        <v>74</v>
      </c>
      <c r="F20" s="14"/>
      <c r="G20" s="14"/>
      <c r="H20" s="162">
        <f>'Inputs and Outputs'!B37</f>
        <v>0.1</v>
      </c>
      <c r="I20" s="9"/>
    </row>
    <row r="21" spans="2:15">
      <c r="B21" s="9" t="s">
        <v>30</v>
      </c>
      <c r="C21" s="11">
        <f>'Inputs and Outputs'!B14</f>
        <v>0.02</v>
      </c>
      <c r="D21" s="9"/>
      <c r="E21" s="14" t="s">
        <v>118</v>
      </c>
      <c r="H21" s="35">
        <f>'Inputs and Outputs'!B38</f>
        <v>8.2500000000000004E-2</v>
      </c>
      <c r="I21" s="9"/>
    </row>
    <row r="22" spans="2:15">
      <c r="B22" s="9" t="s">
        <v>3</v>
      </c>
      <c r="C22" s="10">
        <f>'Inputs and Outputs'!B15</f>
        <v>0.25</v>
      </c>
      <c r="D22" s="9"/>
      <c r="E22" s="14" t="s">
        <v>31</v>
      </c>
      <c r="F22" s="13"/>
      <c r="G22" s="36"/>
      <c r="H22" s="37">
        <f>+H18/2</f>
        <v>5.5E-2</v>
      </c>
      <c r="I22" s="9"/>
    </row>
    <row r="23" spans="2:15">
      <c r="B23" s="169" t="str">
        <f>""&amp;C25&amp;"yr"&amp;" inverter replacement cost"</f>
        <v>10yr inverter replacement cost</v>
      </c>
      <c r="C23" s="170">
        <f>C22*C8*10^6</f>
        <v>1665000</v>
      </c>
      <c r="D23" s="9"/>
      <c r="H23" s="39"/>
      <c r="I23" s="9"/>
    </row>
    <row r="24" spans="2:15">
      <c r="B24" s="13" t="s">
        <v>32</v>
      </c>
      <c r="C24" s="38">
        <f>C23/C25</f>
        <v>166500</v>
      </c>
      <c r="D24" s="9"/>
      <c r="I24" s="9"/>
    </row>
    <row r="25" spans="2:15">
      <c r="B25" s="9" t="s">
        <v>33</v>
      </c>
      <c r="C25" s="12">
        <f>'Inputs and Outputs'!B16</f>
        <v>10</v>
      </c>
      <c r="D25" s="9"/>
      <c r="E25" s="40" t="s">
        <v>34</v>
      </c>
      <c r="F25" s="41"/>
      <c r="G25" s="41"/>
      <c r="H25" s="20">
        <f>H16*C10</f>
        <v>20535704.697160557</v>
      </c>
      <c r="I25" s="9"/>
    </row>
    <row r="26" spans="2:15">
      <c r="B26" s="9" t="s">
        <v>5</v>
      </c>
      <c r="C26" s="10">
        <f>'Inputs and Outputs'!B17</f>
        <v>20</v>
      </c>
      <c r="D26" s="9"/>
      <c r="E26" s="40" t="s">
        <v>35</v>
      </c>
      <c r="F26" s="41"/>
      <c r="G26" s="41"/>
      <c r="H26" s="20">
        <f>H17*C10</f>
        <v>5133926.1742901374</v>
      </c>
      <c r="I26" s="9"/>
    </row>
    <row r="27" spans="2:15">
      <c r="B27" t="s">
        <v>6</v>
      </c>
      <c r="C27" s="11">
        <f>'Inputs and Outputs'!B18</f>
        <v>0.02</v>
      </c>
      <c r="D27" s="9"/>
      <c r="I27" s="9"/>
    </row>
    <row r="28" spans="2:15">
      <c r="B28" s="9" t="s">
        <v>107</v>
      </c>
      <c r="C28" s="151">
        <f>'Inputs and Outputs'!B19</f>
        <v>200</v>
      </c>
      <c r="D28" s="9"/>
      <c r="I28" s="9"/>
    </row>
    <row r="29" spans="2:15">
      <c r="B29" s="9" t="s">
        <v>122</v>
      </c>
      <c r="C29" s="164">
        <f>'Inputs and Outputs'!B20</f>
        <v>0.02</v>
      </c>
      <c r="D29" s="9"/>
      <c r="I29" s="9"/>
    </row>
    <row r="30" spans="2:15">
      <c r="B30" s="9" t="s">
        <v>112</v>
      </c>
      <c r="C30" s="150">
        <f>'Inputs and Outputs'!B21</f>
        <v>120000</v>
      </c>
      <c r="D30" s="9"/>
      <c r="E30" s="17"/>
      <c r="F30" s="17"/>
      <c r="G30" s="17"/>
      <c r="H30" s="42"/>
      <c r="I30" s="17"/>
      <c r="J30" s="43"/>
      <c r="K30" s="43"/>
      <c r="L30" s="44"/>
      <c r="M30" s="45"/>
      <c r="N30" s="46"/>
    </row>
    <row r="31" spans="2:15">
      <c r="B31" s="9" t="s">
        <v>113</v>
      </c>
      <c r="C31" s="33">
        <f>'Inputs and Outputs'!B22</f>
        <v>0.02</v>
      </c>
      <c r="D31" s="9"/>
      <c r="E31" s="17"/>
      <c r="F31" s="17"/>
      <c r="G31" s="17"/>
      <c r="H31" s="42"/>
      <c r="I31" s="17"/>
      <c r="J31" s="43"/>
      <c r="K31" s="43"/>
      <c r="L31" s="44"/>
      <c r="M31" s="45"/>
      <c r="N31" s="46"/>
    </row>
    <row r="32" spans="2:15">
      <c r="B32" s="9" t="s">
        <v>120</v>
      </c>
      <c r="C32" s="163">
        <f>'Inputs and Outputs'!B23</f>
        <v>0.06</v>
      </c>
      <c r="D32" s="9"/>
      <c r="E32" s="17"/>
      <c r="F32" s="17"/>
      <c r="G32" s="17"/>
      <c r="H32" s="42"/>
      <c r="I32" s="17"/>
      <c r="J32" s="43"/>
      <c r="K32" s="43"/>
      <c r="L32" s="44"/>
      <c r="M32" s="45"/>
      <c r="N32" s="46"/>
    </row>
    <row r="33" spans="1:44">
      <c r="B33" s="9" t="s">
        <v>121</v>
      </c>
      <c r="C33" s="33">
        <f>'Inputs and Outputs'!B24</f>
        <v>2.5000000000000001E-2</v>
      </c>
      <c r="D33" s="9"/>
      <c r="E33" s="17"/>
      <c r="F33" s="17"/>
      <c r="G33" s="17"/>
      <c r="H33" s="42"/>
      <c r="I33" s="17"/>
      <c r="J33" s="43"/>
      <c r="K33" s="43"/>
      <c r="L33" s="44"/>
      <c r="M33" s="45"/>
      <c r="N33" s="46"/>
    </row>
    <row r="34" spans="1:44">
      <c r="B34" s="47"/>
      <c r="C34" s="23"/>
      <c r="E34" s="23"/>
      <c r="F34" s="23"/>
      <c r="G34" s="23"/>
      <c r="H34" s="23"/>
      <c r="I34" s="23"/>
      <c r="J34" s="4"/>
      <c r="K34" s="48"/>
      <c r="L34" s="27"/>
    </row>
    <row r="35" spans="1:44">
      <c r="B35" s="49" t="s">
        <v>36</v>
      </c>
      <c r="C35" s="49">
        <v>0</v>
      </c>
      <c r="D35" s="49">
        <v>1</v>
      </c>
      <c r="E35" s="49">
        <v>2</v>
      </c>
      <c r="F35" s="49">
        <v>3</v>
      </c>
      <c r="G35" s="49">
        <v>4</v>
      </c>
      <c r="H35" s="49">
        <v>5</v>
      </c>
      <c r="I35" s="49">
        <v>6</v>
      </c>
      <c r="J35" s="49">
        <v>7</v>
      </c>
      <c r="K35" s="49">
        <v>8</v>
      </c>
      <c r="L35" s="49">
        <v>9</v>
      </c>
      <c r="M35" s="49">
        <v>10</v>
      </c>
      <c r="N35" s="49">
        <v>11</v>
      </c>
      <c r="O35" s="49">
        <v>12</v>
      </c>
      <c r="P35" s="49">
        <v>13</v>
      </c>
      <c r="Q35" s="49">
        <v>14</v>
      </c>
      <c r="R35" s="49">
        <v>15</v>
      </c>
      <c r="S35" s="49">
        <v>16</v>
      </c>
      <c r="T35" s="49">
        <v>17</v>
      </c>
      <c r="U35" s="49">
        <v>18</v>
      </c>
      <c r="V35" s="49">
        <v>19</v>
      </c>
      <c r="W35" s="49">
        <v>20</v>
      </c>
      <c r="X35" s="49">
        <v>21</v>
      </c>
      <c r="Y35" s="49">
        <v>22</v>
      </c>
      <c r="Z35" s="49">
        <v>23</v>
      </c>
      <c r="AA35" s="49">
        <v>24</v>
      </c>
      <c r="AB35" s="49">
        <v>25</v>
      </c>
      <c r="AC35" s="49">
        <v>26</v>
      </c>
      <c r="AD35" s="49">
        <v>27</v>
      </c>
      <c r="AE35" s="49">
        <v>28</v>
      </c>
      <c r="AF35" s="49">
        <v>29</v>
      </c>
      <c r="AG35" s="49">
        <v>30</v>
      </c>
      <c r="AH35" s="49">
        <v>31</v>
      </c>
      <c r="AI35" s="49">
        <v>32</v>
      </c>
      <c r="AJ35" s="49">
        <v>33</v>
      </c>
      <c r="AK35" s="49">
        <v>34</v>
      </c>
      <c r="AL35" s="49">
        <v>35</v>
      </c>
      <c r="AM35" s="49">
        <v>36</v>
      </c>
      <c r="AN35" s="49">
        <v>37</v>
      </c>
      <c r="AO35" s="49">
        <v>38</v>
      </c>
      <c r="AP35" s="49">
        <v>39</v>
      </c>
      <c r="AQ35" s="49">
        <v>40</v>
      </c>
      <c r="AR35" s="50" t="s">
        <v>37</v>
      </c>
    </row>
    <row r="36" spans="1:44">
      <c r="B36" s="51"/>
      <c r="C36" s="51"/>
      <c r="AR36" s="23"/>
    </row>
    <row r="37" spans="1:44">
      <c r="B37" s="51" t="s">
        <v>38</v>
      </c>
      <c r="C37" s="51"/>
      <c r="D37" s="52">
        <f>IF($C$17&gt;=D35,C15,0)</f>
        <v>7846.9452000000001</v>
      </c>
      <c r="E37" s="52">
        <f>IF($C$17&gt;=E35,D37*(1-$C$16),0)</f>
        <v>7788.0931110000001</v>
      </c>
      <c r="F37" s="52">
        <f t="shared" ref="F37:AA37" si="0">IF($C$17&gt;=F35,E37*(1-$C$16),0)</f>
        <v>7729.6824126675001</v>
      </c>
      <c r="G37" s="52">
        <f t="shared" si="0"/>
        <v>7671.7097945724945</v>
      </c>
      <c r="H37" s="52">
        <f t="shared" si="0"/>
        <v>7614.1719711132009</v>
      </c>
      <c r="I37" s="52">
        <f>IF($C$17&gt;=I35,H37*(1-$C$16),0)</f>
        <v>7557.0656813298519</v>
      </c>
      <c r="J37" s="52">
        <f t="shared" si="0"/>
        <v>7500.3876887198785</v>
      </c>
      <c r="K37" s="52">
        <f t="shared" si="0"/>
        <v>7444.1347810544794</v>
      </c>
      <c r="L37" s="52">
        <f t="shared" si="0"/>
        <v>7388.3037701965713</v>
      </c>
      <c r="M37" s="52">
        <f t="shared" si="0"/>
        <v>7332.891491920097</v>
      </c>
      <c r="N37" s="52">
        <f t="shared" si="0"/>
        <v>7277.894805730697</v>
      </c>
      <c r="O37" s="52">
        <f t="shared" si="0"/>
        <v>7223.3105946877167</v>
      </c>
      <c r="P37" s="52">
        <f t="shared" si="0"/>
        <v>7169.1357652275592</v>
      </c>
      <c r="Q37" s="52">
        <f t="shared" si="0"/>
        <v>7115.3672469883531</v>
      </c>
      <c r="R37" s="52">
        <f t="shared" si="0"/>
        <v>7062.001992635941</v>
      </c>
      <c r="S37" s="52">
        <f t="shared" si="0"/>
        <v>7009.0369776911721</v>
      </c>
      <c r="T37" s="52">
        <f t="shared" si="0"/>
        <v>6956.4692003584887</v>
      </c>
      <c r="U37" s="52">
        <f t="shared" si="0"/>
        <v>6904.2956813558003</v>
      </c>
      <c r="V37" s="52">
        <f t="shared" si="0"/>
        <v>6852.5134637456322</v>
      </c>
      <c r="W37" s="52">
        <f t="shared" si="0"/>
        <v>6801.1196127675403</v>
      </c>
      <c r="X37" s="52">
        <f t="shared" si="0"/>
        <v>6750.1112156717836</v>
      </c>
      <c r="Y37" s="52">
        <f t="shared" si="0"/>
        <v>6699.4853815542456</v>
      </c>
      <c r="Z37" s="52">
        <f t="shared" si="0"/>
        <v>6649.2392411925894</v>
      </c>
      <c r="AA37" s="52">
        <f t="shared" si="0"/>
        <v>6599.3699468836448</v>
      </c>
      <c r="AB37" s="52">
        <f t="shared" ref="AB37" si="1">IF($C$17&gt;=AB35,AA37*(1-$C$16),0)</f>
        <v>6549.8746722820179</v>
      </c>
      <c r="AC37" s="52">
        <f t="shared" ref="AC37" si="2">IF($C$17&gt;=AC35,AB37*(1-$C$16),0)</f>
        <v>0</v>
      </c>
      <c r="AD37" s="52">
        <f t="shared" ref="AD37" si="3">IF($C$17&gt;=AD35,AC37*(1-$C$16),0)</f>
        <v>0</v>
      </c>
      <c r="AE37" s="52">
        <f t="shared" ref="AE37" si="4">IF($C$17&gt;=AE35,AD37*(1-$C$16),0)</f>
        <v>0</v>
      </c>
      <c r="AF37" s="52">
        <f t="shared" ref="AF37" si="5">IF($C$17&gt;=AF35,AE37*(1-$C$16),0)</f>
        <v>0</v>
      </c>
      <c r="AG37" s="52">
        <f t="shared" ref="AG37" si="6">IF($C$17&gt;=AG35,AF37*(1-$C$16),0)</f>
        <v>0</v>
      </c>
      <c r="AH37" s="52">
        <f t="shared" ref="AH37" si="7">IF($C$17&gt;=AH35,AG37*(1-$C$16),0)</f>
        <v>0</v>
      </c>
      <c r="AI37" s="52">
        <f t="shared" ref="AI37" si="8">IF($C$17&gt;=AI35,AH37*(1-$C$16),0)</f>
        <v>0</v>
      </c>
      <c r="AJ37" s="52">
        <f t="shared" ref="AJ37" si="9">IF($C$17&gt;=AJ35,AI37*(1-$C$16),0)</f>
        <v>0</v>
      </c>
      <c r="AK37" s="52">
        <f t="shared" ref="AK37" si="10">IF($C$17&gt;=AK35,AJ37*(1-$C$16),0)</f>
        <v>0</v>
      </c>
      <c r="AL37" s="52">
        <f t="shared" ref="AL37" si="11">IF($C$17&gt;=AL35,AK37*(1-$C$16),0)</f>
        <v>0</v>
      </c>
      <c r="AM37" s="52">
        <f t="shared" ref="AM37" si="12">IF($C$17&gt;=AM35,AL37*(1-$C$16),0)</f>
        <v>0</v>
      </c>
      <c r="AN37" s="52">
        <f t="shared" ref="AN37" si="13">IF($C$17&gt;=AN35,AM37*(1-$C$16),0)</f>
        <v>0</v>
      </c>
      <c r="AO37" s="52">
        <f t="shared" ref="AO37" si="14">IF($C$17&gt;=AO35,AN37*(1-$C$16),0)</f>
        <v>0</v>
      </c>
      <c r="AP37" s="52">
        <f t="shared" ref="AP37" si="15">IF($C$17&gt;=AP35,AO37*(1-$C$16),0)</f>
        <v>0</v>
      </c>
      <c r="AQ37" s="52">
        <f t="shared" ref="AQ37" si="16">IF($C$17&gt;=AQ35,AP37*(1-$C$16),0)</f>
        <v>0</v>
      </c>
      <c r="AR37" s="53" t="s">
        <v>38</v>
      </c>
    </row>
    <row r="38" spans="1:44">
      <c r="A38" s="36"/>
      <c r="B38" s="36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54"/>
    </row>
    <row r="39" spans="1:44">
      <c r="A39" s="36"/>
      <c r="B39" s="14" t="s">
        <v>119</v>
      </c>
      <c r="C39" s="55"/>
      <c r="D39" s="56">
        <f>C32*1000</f>
        <v>60</v>
      </c>
      <c r="E39" s="56">
        <f>IF(E35&lt;=$C$17,D39*(1+$C$33),0)</f>
        <v>61.499999999999993</v>
      </c>
      <c r="F39" s="56">
        <f t="shared" ref="F39:AQ39" si="17">IF(F35&lt;=$C$17,E39*(1+$C$33),0)</f>
        <v>63.037499999999987</v>
      </c>
      <c r="G39" s="56">
        <f t="shared" si="17"/>
        <v>64.613437499999975</v>
      </c>
      <c r="H39" s="56">
        <f t="shared" si="17"/>
        <v>66.228773437499967</v>
      </c>
      <c r="I39" s="56">
        <f t="shared" si="17"/>
        <v>67.884492773437458</v>
      </c>
      <c r="J39" s="56">
        <f t="shared" si="17"/>
        <v>69.581605092773387</v>
      </c>
      <c r="K39" s="56">
        <f t="shared" si="17"/>
        <v>71.321145220092717</v>
      </c>
      <c r="L39" s="56">
        <f t="shared" si="17"/>
        <v>73.104173850595032</v>
      </c>
      <c r="M39" s="56">
        <f t="shared" si="17"/>
        <v>74.931778196859895</v>
      </c>
      <c r="N39" s="56">
        <f t="shared" si="17"/>
        <v>76.805072651781387</v>
      </c>
      <c r="O39" s="56">
        <f t="shared" si="17"/>
        <v>78.725199468075914</v>
      </c>
      <c r="P39" s="56">
        <f t="shared" si="17"/>
        <v>80.69332945477781</v>
      </c>
      <c r="Q39" s="56">
        <f t="shared" si="17"/>
        <v>82.710662691147249</v>
      </c>
      <c r="R39" s="56">
        <f t="shared" si="17"/>
        <v>84.778429258425916</v>
      </c>
      <c r="S39" s="56">
        <f t="shared" si="17"/>
        <v>86.897889989886551</v>
      </c>
      <c r="T39" s="56">
        <f t="shared" si="17"/>
        <v>89.070337239633702</v>
      </c>
      <c r="U39" s="56">
        <f t="shared" si="17"/>
        <v>91.297095670624543</v>
      </c>
      <c r="V39" s="56">
        <f t="shared" si="17"/>
        <v>93.579523062390152</v>
      </c>
      <c r="W39" s="56">
        <f t="shared" si="17"/>
        <v>95.919011138949898</v>
      </c>
      <c r="X39" s="56">
        <f t="shared" si="17"/>
        <v>98.316986417423635</v>
      </c>
      <c r="Y39" s="56">
        <f t="shared" si="17"/>
        <v>100.77491107785922</v>
      </c>
      <c r="Z39" s="56">
        <f t="shared" si="17"/>
        <v>103.29428385480568</v>
      </c>
      <c r="AA39" s="56">
        <f t="shared" si="17"/>
        <v>105.87664095117582</v>
      </c>
      <c r="AB39" s="56">
        <f t="shared" si="17"/>
        <v>108.5235569749552</v>
      </c>
      <c r="AC39" s="56">
        <f t="shared" si="17"/>
        <v>0</v>
      </c>
      <c r="AD39" s="56">
        <f t="shared" si="17"/>
        <v>0</v>
      </c>
      <c r="AE39" s="56">
        <f t="shared" si="17"/>
        <v>0</v>
      </c>
      <c r="AF39" s="56">
        <f t="shared" si="17"/>
        <v>0</v>
      </c>
      <c r="AG39" s="56">
        <f t="shared" si="17"/>
        <v>0</v>
      </c>
      <c r="AH39" s="56">
        <f t="shared" si="17"/>
        <v>0</v>
      </c>
      <c r="AI39" s="56">
        <f t="shared" si="17"/>
        <v>0</v>
      </c>
      <c r="AJ39" s="56">
        <f t="shared" si="17"/>
        <v>0</v>
      </c>
      <c r="AK39" s="56">
        <f t="shared" si="17"/>
        <v>0</v>
      </c>
      <c r="AL39" s="56">
        <f t="shared" si="17"/>
        <v>0</v>
      </c>
      <c r="AM39" s="56">
        <f t="shared" si="17"/>
        <v>0</v>
      </c>
      <c r="AN39" s="56">
        <f t="shared" si="17"/>
        <v>0</v>
      </c>
      <c r="AO39" s="56">
        <f t="shared" si="17"/>
        <v>0</v>
      </c>
      <c r="AP39" s="56">
        <f t="shared" si="17"/>
        <v>0</v>
      </c>
      <c r="AQ39" s="56">
        <f t="shared" si="17"/>
        <v>0</v>
      </c>
      <c r="AR39" s="57" t="s">
        <v>39</v>
      </c>
    </row>
    <row r="40" spans="1:44" s="158" customFormat="1">
      <c r="A40" s="159"/>
      <c r="B40" s="159" t="s">
        <v>109</v>
      </c>
      <c r="C40" s="156"/>
      <c r="D40" s="160">
        <f t="shared" ref="D40:AB40" si="18">D146</f>
        <v>1569389.04</v>
      </c>
      <c r="E40" s="160">
        <f t="shared" si="18"/>
        <v>1495936.9247608799</v>
      </c>
      <c r="F40" s="160">
        <f t="shared" si="18"/>
        <v>1455023.0498686698</v>
      </c>
      <c r="G40" s="160">
        <f t="shared" si="18"/>
        <v>1415228.1694547618</v>
      </c>
      <c r="H40" s="160">
        <f t="shared" si="18"/>
        <v>1376521.6790201738</v>
      </c>
      <c r="I40" s="160">
        <f t="shared" si="18"/>
        <v>1338873.8110989721</v>
      </c>
      <c r="J40" s="160">
        <f t="shared" si="18"/>
        <v>1302255.6123654153</v>
      </c>
      <c r="K40" s="160">
        <f t="shared" si="18"/>
        <v>1266638.9213672213</v>
      </c>
      <c r="L40" s="160">
        <f t="shared" si="18"/>
        <v>1231996.3468678277</v>
      </c>
      <c r="M40" s="160">
        <f t="shared" si="18"/>
        <v>1198301.2467809925</v>
      </c>
      <c r="N40" s="160">
        <f t="shared" si="18"/>
        <v>1165527.7076815325</v>
      </c>
      <c r="O40" s="160">
        <f t="shared" si="18"/>
        <v>1133650.5248764427</v>
      </c>
      <c r="P40" s="160">
        <f t="shared" si="18"/>
        <v>1102645.1830210718</v>
      </c>
      <c r="Q40" s="160">
        <f t="shared" si="18"/>
        <v>1072487.8372654456</v>
      </c>
      <c r="R40" s="160">
        <f t="shared" si="18"/>
        <v>1043155.2949162358</v>
      </c>
      <c r="S40" s="160">
        <f t="shared" si="18"/>
        <v>0</v>
      </c>
      <c r="T40" s="160">
        <f t="shared" si="18"/>
        <v>0</v>
      </c>
      <c r="U40" s="160">
        <f t="shared" si="18"/>
        <v>0</v>
      </c>
      <c r="V40" s="160">
        <f t="shared" si="18"/>
        <v>0</v>
      </c>
      <c r="W40" s="160">
        <f t="shared" si="18"/>
        <v>0</v>
      </c>
      <c r="X40" s="160">
        <f t="shared" si="18"/>
        <v>0</v>
      </c>
      <c r="Y40" s="160">
        <f t="shared" si="18"/>
        <v>0</v>
      </c>
      <c r="Z40" s="160">
        <f t="shared" si="18"/>
        <v>0</v>
      </c>
      <c r="AA40" s="160">
        <f t="shared" si="18"/>
        <v>0</v>
      </c>
      <c r="AB40" s="160">
        <f t="shared" si="18"/>
        <v>0</v>
      </c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57"/>
    </row>
    <row r="41" spans="1:44">
      <c r="B41" s="17" t="s">
        <v>40</v>
      </c>
      <c r="C41" s="58"/>
      <c r="D41" s="59">
        <f>D37*D39</f>
        <v>470816.712</v>
      </c>
      <c r="E41" s="59">
        <f t="shared" ref="E41:AQ41" si="19">E37*E39</f>
        <v>478967.72632649995</v>
      </c>
      <c r="F41" s="55">
        <f t="shared" si="19"/>
        <v>487259.85508852743</v>
      </c>
      <c r="G41" s="55">
        <f t="shared" si="19"/>
        <v>495695.54132974753</v>
      </c>
      <c r="H41" s="59">
        <f t="shared" si="19"/>
        <v>504277.27038901875</v>
      </c>
      <c r="I41" s="59">
        <f t="shared" si="19"/>
        <v>513007.57063262857</v>
      </c>
      <c r="J41" s="59">
        <f t="shared" si="19"/>
        <v>521889.01419920591</v>
      </c>
      <c r="K41" s="59">
        <f t="shared" si="19"/>
        <v>530924.21775752958</v>
      </c>
      <c r="L41" s="59">
        <f t="shared" si="19"/>
        <v>540115.84327745682</v>
      </c>
      <c r="M41" s="59">
        <f t="shared" si="19"/>
        <v>549466.5988141977</v>
      </c>
      <c r="N41" s="59">
        <f t="shared" si="19"/>
        <v>558979.23930616851</v>
      </c>
      <c r="O41" s="59">
        <f t="shared" si="19"/>
        <v>568656.56738665653</v>
      </c>
      <c r="P41" s="59">
        <f t="shared" si="19"/>
        <v>578501.43420953804</v>
      </c>
      <c r="Q41" s="59">
        <f t="shared" si="19"/>
        <v>588516.74028929067</v>
      </c>
      <c r="R41" s="59">
        <f t="shared" si="19"/>
        <v>598705.43635554903</v>
      </c>
      <c r="S41" s="59">
        <f t="shared" si="19"/>
        <v>609070.52422245441</v>
      </c>
      <c r="T41" s="59">
        <f t="shared" si="19"/>
        <v>619615.05767305556</v>
      </c>
      <c r="U41" s="59">
        <f t="shared" si="19"/>
        <v>630342.14335902035</v>
      </c>
      <c r="V41" s="59">
        <f t="shared" si="19"/>
        <v>641254.94171592337</v>
      </c>
      <c r="W41" s="59">
        <f t="shared" si="19"/>
        <v>652356.66789438028</v>
      </c>
      <c r="X41" s="59">
        <f t="shared" si="19"/>
        <v>663650.59270730172</v>
      </c>
      <c r="Y41" s="59">
        <f t="shared" si="19"/>
        <v>675140.04359354684</v>
      </c>
      <c r="Z41" s="59">
        <f t="shared" si="19"/>
        <v>686828.40559826011</v>
      </c>
      <c r="AA41" s="59">
        <f t="shared" si="19"/>
        <v>698719.12237017986</v>
      </c>
      <c r="AB41" s="59">
        <f t="shared" si="19"/>
        <v>710815.69717621361</v>
      </c>
      <c r="AC41" s="59">
        <f t="shared" si="19"/>
        <v>0</v>
      </c>
      <c r="AD41" s="59">
        <f t="shared" si="19"/>
        <v>0</v>
      </c>
      <c r="AE41" s="59">
        <f t="shared" si="19"/>
        <v>0</v>
      </c>
      <c r="AF41" s="59">
        <f t="shared" si="19"/>
        <v>0</v>
      </c>
      <c r="AG41" s="59">
        <f t="shared" si="19"/>
        <v>0</v>
      </c>
      <c r="AH41" s="59">
        <f t="shared" si="19"/>
        <v>0</v>
      </c>
      <c r="AI41" s="59">
        <f t="shared" si="19"/>
        <v>0</v>
      </c>
      <c r="AJ41" s="59">
        <f t="shared" si="19"/>
        <v>0</v>
      </c>
      <c r="AK41" s="59">
        <f t="shared" si="19"/>
        <v>0</v>
      </c>
      <c r="AL41" s="59">
        <f t="shared" si="19"/>
        <v>0</v>
      </c>
      <c r="AM41" s="59">
        <f t="shared" si="19"/>
        <v>0</v>
      </c>
      <c r="AN41" s="59">
        <f t="shared" si="19"/>
        <v>0</v>
      </c>
      <c r="AO41" s="59">
        <f t="shared" si="19"/>
        <v>0</v>
      </c>
      <c r="AP41" s="59">
        <f t="shared" si="19"/>
        <v>0</v>
      </c>
      <c r="AQ41" s="59">
        <f t="shared" si="19"/>
        <v>0</v>
      </c>
      <c r="AR41" s="60" t="s">
        <v>40</v>
      </c>
    </row>
    <row r="42" spans="1:44">
      <c r="A42" s="9"/>
      <c r="B42" s="61" t="s">
        <v>41</v>
      </c>
      <c r="C42" s="62"/>
      <c r="D42" s="62">
        <f>D41+D40</f>
        <v>2040205.7520000001</v>
      </c>
      <c r="E42" s="62">
        <f t="shared" ref="E42:AQ42" si="20">E41+E40</f>
        <v>1974904.65108738</v>
      </c>
      <c r="F42" s="62">
        <f t="shared" si="20"/>
        <v>1942282.9049571971</v>
      </c>
      <c r="G42" s="62">
        <f t="shared" si="20"/>
        <v>1910923.7107845093</v>
      </c>
      <c r="H42" s="62">
        <f t="shared" si="20"/>
        <v>1880798.9494091927</v>
      </c>
      <c r="I42" s="62">
        <f t="shared" si="20"/>
        <v>1851881.3817316007</v>
      </c>
      <c r="J42" s="62">
        <f t="shared" si="20"/>
        <v>1824144.6265646212</v>
      </c>
      <c r="K42" s="62">
        <f t="shared" si="20"/>
        <v>1797563.1391247509</v>
      </c>
      <c r="L42" s="62">
        <f t="shared" si="20"/>
        <v>1772112.1901452844</v>
      </c>
      <c r="M42" s="62">
        <f t="shared" si="20"/>
        <v>1747767.8455951903</v>
      </c>
      <c r="N42" s="62">
        <f t="shared" si="20"/>
        <v>1724506.9469877011</v>
      </c>
      <c r="O42" s="62">
        <f t="shared" si="20"/>
        <v>1702307.0922630993</v>
      </c>
      <c r="P42" s="62">
        <f t="shared" si="20"/>
        <v>1681146.61723061</v>
      </c>
      <c r="Q42" s="62">
        <f t="shared" si="20"/>
        <v>1661004.5775547363</v>
      </c>
      <c r="R42" s="62">
        <f t="shared" si="20"/>
        <v>1641860.7312717848</v>
      </c>
      <c r="S42" s="62">
        <f t="shared" si="20"/>
        <v>609070.52422245441</v>
      </c>
      <c r="T42" s="62">
        <f t="shared" si="20"/>
        <v>619615.05767305556</v>
      </c>
      <c r="U42" s="62">
        <f t="shared" si="20"/>
        <v>630342.14335902035</v>
      </c>
      <c r="V42" s="62">
        <f t="shared" si="20"/>
        <v>641254.94171592337</v>
      </c>
      <c r="W42" s="62">
        <f t="shared" si="20"/>
        <v>652356.66789438028</v>
      </c>
      <c r="X42" s="62">
        <f t="shared" si="20"/>
        <v>663650.59270730172</v>
      </c>
      <c r="Y42" s="62">
        <f t="shared" si="20"/>
        <v>675140.04359354684</v>
      </c>
      <c r="Z42" s="62">
        <f t="shared" si="20"/>
        <v>686828.40559826011</v>
      </c>
      <c r="AA42" s="62">
        <f t="shared" si="20"/>
        <v>698719.12237017986</v>
      </c>
      <c r="AB42" s="62">
        <f t="shared" si="20"/>
        <v>710815.69717621361</v>
      </c>
      <c r="AC42" s="62">
        <f t="shared" si="20"/>
        <v>0</v>
      </c>
      <c r="AD42" s="62">
        <f t="shared" si="20"/>
        <v>0</v>
      </c>
      <c r="AE42" s="62">
        <f t="shared" si="20"/>
        <v>0</v>
      </c>
      <c r="AF42" s="62">
        <f t="shared" si="20"/>
        <v>0</v>
      </c>
      <c r="AG42" s="62">
        <f t="shared" si="20"/>
        <v>0</v>
      </c>
      <c r="AH42" s="62">
        <f t="shared" si="20"/>
        <v>0</v>
      </c>
      <c r="AI42" s="62">
        <f t="shared" si="20"/>
        <v>0</v>
      </c>
      <c r="AJ42" s="62">
        <f t="shared" si="20"/>
        <v>0</v>
      </c>
      <c r="AK42" s="62">
        <f t="shared" si="20"/>
        <v>0</v>
      </c>
      <c r="AL42" s="62">
        <f t="shared" si="20"/>
        <v>0</v>
      </c>
      <c r="AM42" s="62">
        <f t="shared" si="20"/>
        <v>0</v>
      </c>
      <c r="AN42" s="62">
        <f t="shared" si="20"/>
        <v>0</v>
      </c>
      <c r="AO42" s="62">
        <f t="shared" si="20"/>
        <v>0</v>
      </c>
      <c r="AP42" s="62">
        <f t="shared" si="20"/>
        <v>0</v>
      </c>
      <c r="AQ42" s="62">
        <f t="shared" si="20"/>
        <v>0</v>
      </c>
      <c r="AR42" s="63" t="s">
        <v>41</v>
      </c>
    </row>
    <row r="43" spans="1:44">
      <c r="A43" s="9"/>
      <c r="B43" s="17"/>
      <c r="C43" s="58"/>
      <c r="D43" s="58"/>
      <c r="E43" s="58"/>
      <c r="F43" s="64"/>
      <c r="G43" s="64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60"/>
    </row>
    <row r="44" spans="1:44">
      <c r="A44" s="13"/>
      <c r="B44" s="17" t="s">
        <v>42</v>
      </c>
      <c r="C44" s="58"/>
      <c r="D44" s="65">
        <f>IF($C$17&gt;=D35,-$C$8*$C$20*1000)*(1+$C$21)^(D35)</f>
        <v>-135864</v>
      </c>
      <c r="E44" s="65">
        <f t="shared" ref="E44:AQ44" si="21">IF($C$17&gt;=E35,-$C$8*$C$20*1000)*(1+$C$21)^(E35)</f>
        <v>-138581.28</v>
      </c>
      <c r="F44" s="65">
        <f t="shared" si="21"/>
        <v>-141352.9056</v>
      </c>
      <c r="G44" s="65">
        <f t="shared" si="21"/>
        <v>-144179.963712</v>
      </c>
      <c r="H44" s="65">
        <f t="shared" si="21"/>
        <v>-147063.56298623999</v>
      </c>
      <c r="I44" s="65">
        <f t="shared" si="21"/>
        <v>-150004.8342459648</v>
      </c>
      <c r="J44" s="65">
        <f t="shared" si="21"/>
        <v>-153004.93093088406</v>
      </c>
      <c r="K44" s="65">
        <f t="shared" si="21"/>
        <v>-156065.02954950178</v>
      </c>
      <c r="L44" s="65">
        <f t="shared" si="21"/>
        <v>-159186.3301404918</v>
      </c>
      <c r="M44" s="65">
        <f t="shared" si="21"/>
        <v>-162370.05674330165</v>
      </c>
      <c r="N44" s="65">
        <f t="shared" si="21"/>
        <v>-165617.45787816765</v>
      </c>
      <c r="O44" s="65">
        <f t="shared" si="21"/>
        <v>-168929.80703573104</v>
      </c>
      <c r="P44" s="65">
        <f t="shared" si="21"/>
        <v>-172308.40317644563</v>
      </c>
      <c r="Q44" s="65">
        <f t="shared" si="21"/>
        <v>-175754.57123997458</v>
      </c>
      <c r="R44" s="65">
        <f t="shared" si="21"/>
        <v>-179269.66266477402</v>
      </c>
      <c r="S44" s="65">
        <f t="shared" si="21"/>
        <v>-182855.05591806953</v>
      </c>
      <c r="T44" s="65">
        <f t="shared" si="21"/>
        <v>-186512.15703643093</v>
      </c>
      <c r="U44" s="65">
        <f t="shared" si="21"/>
        <v>-190242.40017715952</v>
      </c>
      <c r="V44" s="65">
        <f t="shared" si="21"/>
        <v>-194047.24818070271</v>
      </c>
      <c r="W44" s="65">
        <f t="shared" si="21"/>
        <v>-197928.19314431679</v>
      </c>
      <c r="X44" s="65">
        <f t="shared" si="21"/>
        <v>-201886.75700720309</v>
      </c>
      <c r="Y44" s="65">
        <f t="shared" si="21"/>
        <v>-205924.49214734719</v>
      </c>
      <c r="Z44" s="65">
        <f t="shared" si="21"/>
        <v>-210042.98199029409</v>
      </c>
      <c r="AA44" s="65">
        <f t="shared" si="21"/>
        <v>-214243.84163009998</v>
      </c>
      <c r="AB44" s="65">
        <f t="shared" si="21"/>
        <v>-218528.71846270197</v>
      </c>
      <c r="AC44" s="65">
        <f t="shared" si="21"/>
        <v>0</v>
      </c>
      <c r="AD44" s="65">
        <f t="shared" si="21"/>
        <v>0</v>
      </c>
      <c r="AE44" s="65">
        <f t="shared" si="21"/>
        <v>0</v>
      </c>
      <c r="AF44" s="65">
        <f t="shared" si="21"/>
        <v>0</v>
      </c>
      <c r="AG44" s="65">
        <f t="shared" si="21"/>
        <v>0</v>
      </c>
      <c r="AH44" s="65">
        <f t="shared" si="21"/>
        <v>0</v>
      </c>
      <c r="AI44" s="65">
        <f t="shared" si="21"/>
        <v>0</v>
      </c>
      <c r="AJ44" s="65">
        <f t="shared" si="21"/>
        <v>0</v>
      </c>
      <c r="AK44" s="65">
        <f t="shared" si="21"/>
        <v>0</v>
      </c>
      <c r="AL44" s="65">
        <f t="shared" si="21"/>
        <v>0</v>
      </c>
      <c r="AM44" s="65">
        <f t="shared" si="21"/>
        <v>0</v>
      </c>
      <c r="AN44" s="65">
        <f t="shared" si="21"/>
        <v>0</v>
      </c>
      <c r="AO44" s="65">
        <f t="shared" si="21"/>
        <v>0</v>
      </c>
      <c r="AP44" s="65">
        <f t="shared" si="21"/>
        <v>0</v>
      </c>
      <c r="AQ44" s="65">
        <f t="shared" si="21"/>
        <v>0</v>
      </c>
      <c r="AR44" s="60" t="s">
        <v>42</v>
      </c>
    </row>
    <row r="45" spans="1:44">
      <c r="A45" s="9"/>
      <c r="B45" s="14" t="s">
        <v>43</v>
      </c>
      <c r="C45" s="64"/>
      <c r="D45" s="66">
        <f>D109</f>
        <v>-166500</v>
      </c>
      <c r="E45" s="66">
        <f t="shared" ref="E45:AQ45" si="22">E109</f>
        <v>-157342.5</v>
      </c>
      <c r="F45" s="66">
        <f t="shared" si="22"/>
        <v>-148185</v>
      </c>
      <c r="G45" s="66">
        <f t="shared" si="22"/>
        <v>-139027.5</v>
      </c>
      <c r="H45" s="66">
        <f t="shared" si="22"/>
        <v>-129870</v>
      </c>
      <c r="I45" s="66">
        <f t="shared" si="22"/>
        <v>-120712.5</v>
      </c>
      <c r="J45" s="66">
        <f t="shared" si="22"/>
        <v>-111555</v>
      </c>
      <c r="K45" s="66">
        <f t="shared" si="22"/>
        <v>-102397.5</v>
      </c>
      <c r="L45" s="66">
        <f t="shared" si="22"/>
        <v>-93240</v>
      </c>
      <c r="M45" s="66">
        <f t="shared" si="22"/>
        <v>-84082.5</v>
      </c>
      <c r="N45" s="66">
        <f t="shared" si="22"/>
        <v>-166500</v>
      </c>
      <c r="O45" s="66">
        <f t="shared" si="22"/>
        <v>-157342.5</v>
      </c>
      <c r="P45" s="66">
        <f t="shared" si="22"/>
        <v>-148185</v>
      </c>
      <c r="Q45" s="66">
        <f t="shared" si="22"/>
        <v>-139027.5</v>
      </c>
      <c r="R45" s="66">
        <f t="shared" si="22"/>
        <v>-129870</v>
      </c>
      <c r="S45" s="66">
        <f t="shared" si="22"/>
        <v>-120712.5</v>
      </c>
      <c r="T45" s="66">
        <f t="shared" si="22"/>
        <v>-111555</v>
      </c>
      <c r="U45" s="66">
        <f t="shared" si="22"/>
        <v>-102397.5</v>
      </c>
      <c r="V45" s="66">
        <f t="shared" si="22"/>
        <v>-93240</v>
      </c>
      <c r="W45" s="66">
        <f t="shared" si="22"/>
        <v>-84082.5</v>
      </c>
      <c r="X45" s="66">
        <f t="shared" si="22"/>
        <v>-166500</v>
      </c>
      <c r="Y45" s="66">
        <f t="shared" si="22"/>
        <v>-157342.5</v>
      </c>
      <c r="Z45" s="66">
        <f t="shared" si="22"/>
        <v>-148185</v>
      </c>
      <c r="AA45" s="66">
        <f t="shared" si="22"/>
        <v>-139027.5</v>
      </c>
      <c r="AB45" s="66">
        <f t="shared" si="22"/>
        <v>702630</v>
      </c>
      <c r="AC45" s="66">
        <f t="shared" si="22"/>
        <v>0</v>
      </c>
      <c r="AD45" s="66">
        <f t="shared" si="22"/>
        <v>0</v>
      </c>
      <c r="AE45" s="66">
        <f t="shared" si="22"/>
        <v>0</v>
      </c>
      <c r="AF45" s="66">
        <f t="shared" si="22"/>
        <v>0</v>
      </c>
      <c r="AG45" s="66">
        <f t="shared" si="22"/>
        <v>0</v>
      </c>
      <c r="AH45" s="66">
        <f t="shared" si="22"/>
        <v>0</v>
      </c>
      <c r="AI45" s="66">
        <f t="shared" si="22"/>
        <v>0</v>
      </c>
      <c r="AJ45" s="66">
        <f t="shared" si="22"/>
        <v>0</v>
      </c>
      <c r="AK45" s="66">
        <f t="shared" si="22"/>
        <v>0</v>
      </c>
      <c r="AL45" s="66">
        <f t="shared" si="22"/>
        <v>0</v>
      </c>
      <c r="AM45" s="66">
        <f t="shared" si="22"/>
        <v>0</v>
      </c>
      <c r="AN45" s="66">
        <f t="shared" si="22"/>
        <v>0</v>
      </c>
      <c r="AO45" s="66">
        <f t="shared" si="22"/>
        <v>0</v>
      </c>
      <c r="AP45" s="66">
        <f t="shared" si="22"/>
        <v>0</v>
      </c>
      <c r="AQ45" s="66">
        <f t="shared" si="22"/>
        <v>0</v>
      </c>
      <c r="AR45" s="57" t="s">
        <v>44</v>
      </c>
    </row>
    <row r="46" spans="1:44">
      <c r="A46" s="9"/>
      <c r="B46" s="14" t="s">
        <v>45</v>
      </c>
      <c r="C46" s="64"/>
      <c r="D46" s="66">
        <f>IF($C$17&gt;=D35,-$C$26*$C$8*1000*(1+$C$27)^(D35),0)</f>
        <v>-135864</v>
      </c>
      <c r="E46" s="66">
        <f t="shared" ref="E46:AQ46" si="23">IF($C$17&gt;=E35,-$C$26*$C$8*1000*(1+$C$27)^(E35),0)</f>
        <v>-138581.28</v>
      </c>
      <c r="F46" s="66">
        <f t="shared" si="23"/>
        <v>-141352.9056</v>
      </c>
      <c r="G46" s="66">
        <f t="shared" si="23"/>
        <v>-144179.963712</v>
      </c>
      <c r="H46" s="66">
        <f t="shared" si="23"/>
        <v>-147063.56298623999</v>
      </c>
      <c r="I46" s="66">
        <f t="shared" si="23"/>
        <v>-150004.8342459648</v>
      </c>
      <c r="J46" s="66">
        <f t="shared" si="23"/>
        <v>-153004.93093088406</v>
      </c>
      <c r="K46" s="66">
        <f t="shared" si="23"/>
        <v>-156065.02954950178</v>
      </c>
      <c r="L46" s="66">
        <f t="shared" si="23"/>
        <v>-159186.3301404918</v>
      </c>
      <c r="M46" s="66">
        <f t="shared" si="23"/>
        <v>-162370.05674330165</v>
      </c>
      <c r="N46" s="66">
        <f t="shared" si="23"/>
        <v>-165617.45787816765</v>
      </c>
      <c r="O46" s="66">
        <f t="shared" si="23"/>
        <v>-168929.80703573104</v>
      </c>
      <c r="P46" s="66">
        <f t="shared" si="23"/>
        <v>-172308.40317644563</v>
      </c>
      <c r="Q46" s="66">
        <f t="shared" si="23"/>
        <v>-175754.57123997458</v>
      </c>
      <c r="R46" s="66">
        <f t="shared" si="23"/>
        <v>-179269.66266477402</v>
      </c>
      <c r="S46" s="66">
        <f t="shared" si="23"/>
        <v>-182855.05591806953</v>
      </c>
      <c r="T46" s="66">
        <f t="shared" si="23"/>
        <v>-186512.15703643093</v>
      </c>
      <c r="U46" s="66">
        <f t="shared" si="23"/>
        <v>-190242.40017715952</v>
      </c>
      <c r="V46" s="66">
        <f t="shared" si="23"/>
        <v>-194047.24818070271</v>
      </c>
      <c r="W46" s="66">
        <f t="shared" si="23"/>
        <v>-197928.19314431679</v>
      </c>
      <c r="X46" s="66">
        <f t="shared" si="23"/>
        <v>-201886.75700720309</v>
      </c>
      <c r="Y46" s="66">
        <f t="shared" si="23"/>
        <v>-205924.49214734719</v>
      </c>
      <c r="Z46" s="66">
        <f t="shared" si="23"/>
        <v>-210042.98199029409</v>
      </c>
      <c r="AA46" s="66">
        <f t="shared" si="23"/>
        <v>-214243.84163009998</v>
      </c>
      <c r="AB46" s="66">
        <f t="shared" si="23"/>
        <v>-218528.71846270197</v>
      </c>
      <c r="AC46" s="66">
        <f t="shared" si="23"/>
        <v>0</v>
      </c>
      <c r="AD46" s="66">
        <f t="shared" si="23"/>
        <v>0</v>
      </c>
      <c r="AE46" s="66">
        <f t="shared" si="23"/>
        <v>0</v>
      </c>
      <c r="AF46" s="66">
        <f t="shared" si="23"/>
        <v>0</v>
      </c>
      <c r="AG46" s="66">
        <f t="shared" si="23"/>
        <v>0</v>
      </c>
      <c r="AH46" s="66">
        <f t="shared" si="23"/>
        <v>0</v>
      </c>
      <c r="AI46" s="66">
        <f t="shared" si="23"/>
        <v>0</v>
      </c>
      <c r="AJ46" s="66">
        <f t="shared" si="23"/>
        <v>0</v>
      </c>
      <c r="AK46" s="66">
        <f t="shared" si="23"/>
        <v>0</v>
      </c>
      <c r="AL46" s="66">
        <f t="shared" si="23"/>
        <v>0</v>
      </c>
      <c r="AM46" s="66">
        <f t="shared" si="23"/>
        <v>0</v>
      </c>
      <c r="AN46" s="66">
        <f t="shared" si="23"/>
        <v>0</v>
      </c>
      <c r="AO46" s="66">
        <f t="shared" si="23"/>
        <v>0</v>
      </c>
      <c r="AP46" s="66">
        <f t="shared" si="23"/>
        <v>0</v>
      </c>
      <c r="AQ46" s="66">
        <f t="shared" si="23"/>
        <v>0</v>
      </c>
      <c r="AR46" s="57" t="s">
        <v>45</v>
      </c>
    </row>
    <row r="47" spans="1:44">
      <c r="A47" s="9"/>
      <c r="B47" s="14" t="s">
        <v>114</v>
      </c>
      <c r="C47" s="64"/>
      <c r="D47" s="66">
        <f>-C30</f>
        <v>-120000</v>
      </c>
      <c r="E47" s="66">
        <f>IF($C$17&gt;=D35,-$C$30*(1+$C$31)^(D35),0)</f>
        <v>-122400</v>
      </c>
      <c r="F47" s="66">
        <f t="shared" ref="F47:AQ47" si="24">IF($C$17&gt;=E35,-$C$30*(1+$C$31)^(E35),0)</f>
        <v>-124848</v>
      </c>
      <c r="G47" s="66">
        <f t="shared" si="24"/>
        <v>-127344.95999999999</v>
      </c>
      <c r="H47" s="66">
        <f t="shared" si="24"/>
        <v>-129891.85919999999</v>
      </c>
      <c r="I47" s="66">
        <f t="shared" si="24"/>
        <v>-132489.69638400001</v>
      </c>
      <c r="J47" s="66">
        <f t="shared" si="24"/>
        <v>-135139.49031168001</v>
      </c>
      <c r="K47" s="66">
        <f t="shared" si="24"/>
        <v>-137842.28011791359</v>
      </c>
      <c r="L47" s="66">
        <f t="shared" si="24"/>
        <v>-140599.12572027187</v>
      </c>
      <c r="M47" s="66">
        <f t="shared" si="24"/>
        <v>-143411.10823467729</v>
      </c>
      <c r="N47" s="66">
        <f t="shared" si="24"/>
        <v>-146279.33039937084</v>
      </c>
      <c r="O47" s="66">
        <f t="shared" si="24"/>
        <v>-149204.91700735825</v>
      </c>
      <c r="P47" s="66">
        <f t="shared" si="24"/>
        <v>-152189.01534750542</v>
      </c>
      <c r="Q47" s="66">
        <f t="shared" si="24"/>
        <v>-155232.79565445552</v>
      </c>
      <c r="R47" s="66">
        <f t="shared" si="24"/>
        <v>-158337.45156754466</v>
      </c>
      <c r="S47" s="66">
        <f t="shared" si="24"/>
        <v>-161504.20059889552</v>
      </c>
      <c r="T47" s="66">
        <f t="shared" si="24"/>
        <v>-164734.28461087344</v>
      </c>
      <c r="U47" s="66">
        <f t="shared" si="24"/>
        <v>-168028.97030309093</v>
      </c>
      <c r="V47" s="66">
        <f t="shared" si="24"/>
        <v>-171389.54970915272</v>
      </c>
      <c r="W47" s="66">
        <f t="shared" si="24"/>
        <v>-174817.34070333577</v>
      </c>
      <c r="X47" s="66">
        <f t="shared" si="24"/>
        <v>-178313.68751740252</v>
      </c>
      <c r="Y47" s="66">
        <f t="shared" si="24"/>
        <v>-181879.96126775054</v>
      </c>
      <c r="Z47" s="66">
        <f t="shared" si="24"/>
        <v>-185517.56049310556</v>
      </c>
      <c r="AA47" s="66">
        <f t="shared" si="24"/>
        <v>-189227.91170296766</v>
      </c>
      <c r="AB47" s="66">
        <f t="shared" si="24"/>
        <v>-193012.469937027</v>
      </c>
      <c r="AC47" s="66">
        <f t="shared" si="24"/>
        <v>-196872.71933576756</v>
      </c>
      <c r="AD47" s="66">
        <f t="shared" si="24"/>
        <v>0</v>
      </c>
      <c r="AE47" s="66">
        <f t="shared" si="24"/>
        <v>0</v>
      </c>
      <c r="AF47" s="66">
        <f t="shared" si="24"/>
        <v>0</v>
      </c>
      <c r="AG47" s="66">
        <f t="shared" si="24"/>
        <v>0</v>
      </c>
      <c r="AH47" s="66">
        <f t="shared" si="24"/>
        <v>0</v>
      </c>
      <c r="AI47" s="66">
        <f t="shared" si="24"/>
        <v>0</v>
      </c>
      <c r="AJ47" s="66">
        <f t="shared" si="24"/>
        <v>0</v>
      </c>
      <c r="AK47" s="66">
        <f t="shared" si="24"/>
        <v>0</v>
      </c>
      <c r="AL47" s="66">
        <f t="shared" si="24"/>
        <v>0</v>
      </c>
      <c r="AM47" s="66">
        <f t="shared" si="24"/>
        <v>0</v>
      </c>
      <c r="AN47" s="66">
        <f t="shared" si="24"/>
        <v>0</v>
      </c>
      <c r="AO47" s="66">
        <f t="shared" si="24"/>
        <v>0</v>
      </c>
      <c r="AP47" s="66">
        <f t="shared" si="24"/>
        <v>0</v>
      </c>
      <c r="AQ47" s="66">
        <f t="shared" si="24"/>
        <v>0</v>
      </c>
      <c r="AR47" s="57"/>
    </row>
    <row r="48" spans="1:44">
      <c r="A48" s="9"/>
      <c r="B48" s="67" t="s">
        <v>46</v>
      </c>
      <c r="C48" s="68"/>
      <c r="D48" s="68">
        <f>SUM(D44:D47)</f>
        <v>-558228</v>
      </c>
      <c r="E48" s="68">
        <f t="shared" ref="E48:AQ48" si="25">SUM(E44:E47)</f>
        <v>-556905.06000000006</v>
      </c>
      <c r="F48" s="68">
        <f t="shared" si="25"/>
        <v>-555738.8112</v>
      </c>
      <c r="G48" s="68">
        <f t="shared" si="25"/>
        <v>-554732.38742399996</v>
      </c>
      <c r="H48" s="68">
        <f t="shared" si="25"/>
        <v>-553888.98517248</v>
      </c>
      <c r="I48" s="68">
        <f t="shared" si="25"/>
        <v>-553211.86487592955</v>
      </c>
      <c r="J48" s="68">
        <f t="shared" si="25"/>
        <v>-552704.35217344819</v>
      </c>
      <c r="K48" s="68">
        <f t="shared" si="25"/>
        <v>-552369.83921691717</v>
      </c>
      <c r="L48" s="68">
        <f t="shared" si="25"/>
        <v>-552211.7860012555</v>
      </c>
      <c r="M48" s="68">
        <f t="shared" si="25"/>
        <v>-552233.7217212806</v>
      </c>
      <c r="N48" s="68">
        <f t="shared" si="25"/>
        <v>-644014.24615570612</v>
      </c>
      <c r="O48" s="68">
        <f t="shared" si="25"/>
        <v>-644407.03107882035</v>
      </c>
      <c r="P48" s="68">
        <f t="shared" si="25"/>
        <v>-644990.82170039671</v>
      </c>
      <c r="Q48" s="68">
        <f t="shared" si="25"/>
        <v>-645769.43813440471</v>
      </c>
      <c r="R48" s="68">
        <f t="shared" si="25"/>
        <v>-646746.77689709258</v>
      </c>
      <c r="S48" s="68">
        <f t="shared" si="25"/>
        <v>-647926.81243503466</v>
      </c>
      <c r="T48" s="68">
        <f t="shared" si="25"/>
        <v>-649313.59868373524</v>
      </c>
      <c r="U48" s="68">
        <f t="shared" si="25"/>
        <v>-650911.27065740991</v>
      </c>
      <c r="V48" s="68">
        <f t="shared" si="25"/>
        <v>-652724.04607055802</v>
      </c>
      <c r="W48" s="68">
        <f t="shared" si="25"/>
        <v>-654756.22699196939</v>
      </c>
      <c r="X48" s="68">
        <f t="shared" si="25"/>
        <v>-748587.20153180859</v>
      </c>
      <c r="Y48" s="68">
        <f t="shared" si="25"/>
        <v>-751071.44556244486</v>
      </c>
      <c r="Z48" s="68">
        <f t="shared" si="25"/>
        <v>-753788.52447369369</v>
      </c>
      <c r="AA48" s="68">
        <f t="shared" si="25"/>
        <v>-756743.09496316756</v>
      </c>
      <c r="AB48" s="68">
        <f t="shared" si="25"/>
        <v>72560.093137568998</v>
      </c>
      <c r="AC48" s="68">
        <f t="shared" si="25"/>
        <v>-196872.71933576756</v>
      </c>
      <c r="AD48" s="68">
        <f t="shared" si="25"/>
        <v>0</v>
      </c>
      <c r="AE48" s="68">
        <f t="shared" si="25"/>
        <v>0</v>
      </c>
      <c r="AF48" s="68">
        <f t="shared" si="25"/>
        <v>0</v>
      </c>
      <c r="AG48" s="68">
        <f t="shared" si="25"/>
        <v>0</v>
      </c>
      <c r="AH48" s="68">
        <f t="shared" si="25"/>
        <v>0</v>
      </c>
      <c r="AI48" s="68">
        <f t="shared" si="25"/>
        <v>0</v>
      </c>
      <c r="AJ48" s="68">
        <f t="shared" si="25"/>
        <v>0</v>
      </c>
      <c r="AK48" s="68">
        <f t="shared" si="25"/>
        <v>0</v>
      </c>
      <c r="AL48" s="68">
        <f t="shared" si="25"/>
        <v>0</v>
      </c>
      <c r="AM48" s="68">
        <f t="shared" si="25"/>
        <v>0</v>
      </c>
      <c r="AN48" s="68">
        <f t="shared" si="25"/>
        <v>0</v>
      </c>
      <c r="AO48" s="68">
        <f t="shared" si="25"/>
        <v>0</v>
      </c>
      <c r="AP48" s="68">
        <f t="shared" si="25"/>
        <v>0</v>
      </c>
      <c r="AQ48" s="68">
        <f t="shared" si="25"/>
        <v>0</v>
      </c>
      <c r="AR48" s="69" t="s">
        <v>46</v>
      </c>
    </row>
    <row r="49" spans="1:44">
      <c r="A49" s="9"/>
      <c r="B49" s="70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2"/>
    </row>
    <row r="50" spans="1:44">
      <c r="A50" s="9"/>
      <c r="B50" s="73" t="s">
        <v>47</v>
      </c>
      <c r="C50" s="74"/>
      <c r="D50" s="74">
        <f t="shared" ref="D50:AQ50" si="26">D42+D48</f>
        <v>1481977.7520000001</v>
      </c>
      <c r="E50" s="74">
        <f t="shared" si="26"/>
        <v>1417999.59108738</v>
      </c>
      <c r="F50" s="74">
        <f t="shared" si="26"/>
        <v>1386544.0937571973</v>
      </c>
      <c r="G50" s="74">
        <f t="shared" si="26"/>
        <v>1356191.3233605092</v>
      </c>
      <c r="H50" s="74">
        <f t="shared" si="26"/>
        <v>1326909.9642367125</v>
      </c>
      <c r="I50" s="74">
        <f t="shared" si="26"/>
        <v>1298669.5168556711</v>
      </c>
      <c r="J50" s="74">
        <f t="shared" si="26"/>
        <v>1271440.2743911729</v>
      </c>
      <c r="K50" s="74">
        <f t="shared" si="26"/>
        <v>1245193.2999078338</v>
      </c>
      <c r="L50" s="74">
        <f t="shared" si="26"/>
        <v>1219900.4041440289</v>
      </c>
      <c r="M50" s="74">
        <f t="shared" si="26"/>
        <v>1195534.1238739097</v>
      </c>
      <c r="N50" s="74">
        <f t="shared" si="26"/>
        <v>1080492.7008319949</v>
      </c>
      <c r="O50" s="74">
        <f t="shared" si="26"/>
        <v>1057900.0611842789</v>
      </c>
      <c r="P50" s="74">
        <f t="shared" si="26"/>
        <v>1036155.7955302133</v>
      </c>
      <c r="Q50" s="74">
        <f t="shared" si="26"/>
        <v>1015235.1394203316</v>
      </c>
      <c r="R50" s="74">
        <f t="shared" si="26"/>
        <v>995113.95437469217</v>
      </c>
      <c r="S50" s="74">
        <f t="shared" si="26"/>
        <v>-38856.288212580257</v>
      </c>
      <c r="T50" s="74">
        <f t="shared" si="26"/>
        <v>-29698.541010679677</v>
      </c>
      <c r="U50" s="74">
        <f t="shared" si="26"/>
        <v>-20569.127298389561</v>
      </c>
      <c r="V50" s="74">
        <f t="shared" si="26"/>
        <v>-11469.104354634648</v>
      </c>
      <c r="W50" s="74">
        <f t="shared" si="26"/>
        <v>-2399.55909758911</v>
      </c>
      <c r="X50" s="74">
        <f t="shared" si="26"/>
        <v>-84936.608824506868</v>
      </c>
      <c r="Y50" s="74">
        <f t="shared" si="26"/>
        <v>-75931.401968898019</v>
      </c>
      <c r="Z50" s="74">
        <f t="shared" si="26"/>
        <v>-66960.118875433574</v>
      </c>
      <c r="AA50" s="74">
        <f t="shared" si="26"/>
        <v>-58023.972592987702</v>
      </c>
      <c r="AB50" s="74">
        <f t="shared" si="26"/>
        <v>783375.79031378264</v>
      </c>
      <c r="AC50" s="74">
        <f t="shared" si="26"/>
        <v>-196872.71933576756</v>
      </c>
      <c r="AD50" s="74">
        <f t="shared" si="26"/>
        <v>0</v>
      </c>
      <c r="AE50" s="74">
        <f t="shared" si="26"/>
        <v>0</v>
      </c>
      <c r="AF50" s="74">
        <f t="shared" si="26"/>
        <v>0</v>
      </c>
      <c r="AG50" s="74">
        <f t="shared" si="26"/>
        <v>0</v>
      </c>
      <c r="AH50" s="74">
        <f t="shared" si="26"/>
        <v>0</v>
      </c>
      <c r="AI50" s="74">
        <f t="shared" si="26"/>
        <v>0</v>
      </c>
      <c r="AJ50" s="74">
        <f t="shared" si="26"/>
        <v>0</v>
      </c>
      <c r="AK50" s="74">
        <f t="shared" si="26"/>
        <v>0</v>
      </c>
      <c r="AL50" s="74">
        <f t="shared" si="26"/>
        <v>0</v>
      </c>
      <c r="AM50" s="74">
        <f t="shared" si="26"/>
        <v>0</v>
      </c>
      <c r="AN50" s="74">
        <f t="shared" si="26"/>
        <v>0</v>
      </c>
      <c r="AO50" s="74">
        <f t="shared" si="26"/>
        <v>0</v>
      </c>
      <c r="AP50" s="74">
        <f t="shared" si="26"/>
        <v>0</v>
      </c>
      <c r="AQ50" s="74">
        <f t="shared" si="26"/>
        <v>0</v>
      </c>
      <c r="AR50" s="75" t="s">
        <v>47</v>
      </c>
    </row>
    <row r="51" spans="1:44">
      <c r="A51" s="9"/>
      <c r="B51" s="13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7"/>
    </row>
    <row r="52" spans="1:44">
      <c r="A52" s="36"/>
      <c r="B52" s="36" t="s">
        <v>48</v>
      </c>
      <c r="C52" s="78"/>
      <c r="D52" s="79">
        <f>-D96</f>
        <v>-564731.87917191512</v>
      </c>
      <c r="E52" s="79">
        <f t="shared" ref="E52:AQ52" si="27">-E96</f>
        <v>-548317.81183374359</v>
      </c>
      <c r="F52" s="79">
        <f t="shared" si="27"/>
        <v>-530098.19708837324</v>
      </c>
      <c r="G52" s="79">
        <f t="shared" si="27"/>
        <v>-509874.42472101212</v>
      </c>
      <c r="H52" s="79">
        <f t="shared" si="27"/>
        <v>-487426.03739324131</v>
      </c>
      <c r="I52" s="79">
        <f t="shared" si="27"/>
        <v>-462508.32745941571</v>
      </c>
      <c r="J52" s="79">
        <f t="shared" si="27"/>
        <v>-434849.6694328693</v>
      </c>
      <c r="K52" s="79">
        <f t="shared" si="27"/>
        <v>-404148.55902340281</v>
      </c>
      <c r="L52" s="79">
        <f t="shared" si="27"/>
        <v>-370070.32646889496</v>
      </c>
      <c r="M52" s="79">
        <f t="shared" si="27"/>
        <v>-332243.48833339126</v>
      </c>
      <c r="N52" s="79">
        <f t="shared" si="27"/>
        <v>-290255.69800298219</v>
      </c>
      <c r="O52" s="79">
        <f t="shared" si="27"/>
        <v>-243649.25073622807</v>
      </c>
      <c r="P52" s="79">
        <f t="shared" si="27"/>
        <v>-191916.09427013103</v>
      </c>
      <c r="Q52" s="79">
        <f t="shared" si="27"/>
        <v>-134492.29059276331</v>
      </c>
      <c r="R52" s="79">
        <f t="shared" si="27"/>
        <v>-70751.868510885135</v>
      </c>
      <c r="S52" s="79">
        <f t="shared" si="27"/>
        <v>0</v>
      </c>
      <c r="T52" s="79">
        <f t="shared" si="27"/>
        <v>0</v>
      </c>
      <c r="U52" s="79">
        <f t="shared" si="27"/>
        <v>0</v>
      </c>
      <c r="V52" s="79">
        <f t="shared" si="27"/>
        <v>0</v>
      </c>
      <c r="W52" s="79">
        <f t="shared" si="27"/>
        <v>0</v>
      </c>
      <c r="X52" s="79">
        <f t="shared" si="27"/>
        <v>0</v>
      </c>
      <c r="Y52" s="79">
        <f t="shared" si="27"/>
        <v>0</v>
      </c>
      <c r="Z52" s="79">
        <f t="shared" si="27"/>
        <v>0</v>
      </c>
      <c r="AA52" s="79">
        <f t="shared" si="27"/>
        <v>0</v>
      </c>
      <c r="AB52" s="79">
        <f t="shared" si="27"/>
        <v>0</v>
      </c>
      <c r="AC52" s="79">
        <f t="shared" si="27"/>
        <v>0</v>
      </c>
      <c r="AD52" s="79">
        <f t="shared" si="27"/>
        <v>0</v>
      </c>
      <c r="AE52" s="79">
        <f t="shared" si="27"/>
        <v>0</v>
      </c>
      <c r="AF52" s="79">
        <f t="shared" si="27"/>
        <v>0</v>
      </c>
      <c r="AG52" s="79">
        <f t="shared" si="27"/>
        <v>0</v>
      </c>
      <c r="AH52" s="79">
        <f t="shared" si="27"/>
        <v>0</v>
      </c>
      <c r="AI52" s="79">
        <f t="shared" si="27"/>
        <v>0</v>
      </c>
      <c r="AJ52" s="79">
        <f t="shared" si="27"/>
        <v>0</v>
      </c>
      <c r="AK52" s="79">
        <f t="shared" si="27"/>
        <v>0</v>
      </c>
      <c r="AL52" s="79">
        <f t="shared" si="27"/>
        <v>0</v>
      </c>
      <c r="AM52" s="79">
        <f t="shared" si="27"/>
        <v>0</v>
      </c>
      <c r="AN52" s="79">
        <f t="shared" si="27"/>
        <v>0</v>
      </c>
      <c r="AO52" s="79">
        <f t="shared" si="27"/>
        <v>0</v>
      </c>
      <c r="AP52" s="79">
        <f t="shared" si="27"/>
        <v>0</v>
      </c>
      <c r="AQ52" s="79">
        <f t="shared" si="27"/>
        <v>0</v>
      </c>
      <c r="AR52" s="54" t="s">
        <v>48</v>
      </c>
    </row>
    <row r="53" spans="1:44">
      <c r="A53" s="36"/>
      <c r="B53" s="14" t="s">
        <v>49</v>
      </c>
      <c r="C53" s="80"/>
      <c r="D53" s="79">
        <f>-D98</f>
        <v>-149218.79398337705</v>
      </c>
      <c r="E53" s="79">
        <f t="shared" ref="E53:AQ53" si="28">-E98</f>
        <v>-165632.86132154858</v>
      </c>
      <c r="F53" s="79">
        <f t="shared" si="28"/>
        <v>-183852.47606691893</v>
      </c>
      <c r="G53" s="79">
        <f t="shared" si="28"/>
        <v>-204076.24843428005</v>
      </c>
      <c r="H53" s="79">
        <f t="shared" si="28"/>
        <v>-226524.63576205086</v>
      </c>
      <c r="I53" s="79">
        <f t="shared" si="28"/>
        <v>-251442.34569587646</v>
      </c>
      <c r="J53" s="79">
        <f t="shared" si="28"/>
        <v>-279101.00372242287</v>
      </c>
      <c r="K53" s="79">
        <f t="shared" si="28"/>
        <v>-309802.11413188936</v>
      </c>
      <c r="L53" s="79">
        <f t="shared" si="28"/>
        <v>-343880.34668639721</v>
      </c>
      <c r="M53" s="79">
        <f t="shared" si="28"/>
        <v>-381707.18482190091</v>
      </c>
      <c r="N53" s="79">
        <f t="shared" si="28"/>
        <v>-423694.97515230998</v>
      </c>
      <c r="O53" s="79">
        <f t="shared" si="28"/>
        <v>-470301.4224190641</v>
      </c>
      <c r="P53" s="79">
        <f t="shared" si="28"/>
        <v>-522034.57888516114</v>
      </c>
      <c r="Q53" s="79">
        <f t="shared" si="28"/>
        <v>-579458.38256252883</v>
      </c>
      <c r="R53" s="79">
        <f t="shared" si="28"/>
        <v>-643198.80464440701</v>
      </c>
      <c r="S53" s="79">
        <f t="shared" si="28"/>
        <v>0</v>
      </c>
      <c r="T53" s="79">
        <f t="shared" si="28"/>
        <v>0</v>
      </c>
      <c r="U53" s="79">
        <f t="shared" si="28"/>
        <v>0</v>
      </c>
      <c r="V53" s="79">
        <f t="shared" si="28"/>
        <v>0</v>
      </c>
      <c r="W53" s="79">
        <f t="shared" si="28"/>
        <v>0</v>
      </c>
      <c r="X53" s="79">
        <f t="shared" si="28"/>
        <v>0</v>
      </c>
      <c r="Y53" s="79">
        <f t="shared" si="28"/>
        <v>0</v>
      </c>
      <c r="Z53" s="79">
        <f t="shared" si="28"/>
        <v>0</v>
      </c>
      <c r="AA53" s="79">
        <f t="shared" si="28"/>
        <v>0</v>
      </c>
      <c r="AB53" s="79">
        <f t="shared" si="28"/>
        <v>0</v>
      </c>
      <c r="AC53" s="79">
        <f t="shared" si="28"/>
        <v>0</v>
      </c>
      <c r="AD53" s="79">
        <f t="shared" si="28"/>
        <v>0</v>
      </c>
      <c r="AE53" s="79">
        <f t="shared" si="28"/>
        <v>0</v>
      </c>
      <c r="AF53" s="79">
        <f t="shared" si="28"/>
        <v>0</v>
      </c>
      <c r="AG53" s="79">
        <f t="shared" si="28"/>
        <v>0</v>
      </c>
      <c r="AH53" s="79">
        <f t="shared" si="28"/>
        <v>0</v>
      </c>
      <c r="AI53" s="79">
        <f t="shared" si="28"/>
        <v>0</v>
      </c>
      <c r="AJ53" s="79">
        <f t="shared" si="28"/>
        <v>0</v>
      </c>
      <c r="AK53" s="79">
        <f t="shared" si="28"/>
        <v>0</v>
      </c>
      <c r="AL53" s="79">
        <f t="shared" si="28"/>
        <v>0</v>
      </c>
      <c r="AM53" s="79">
        <f t="shared" si="28"/>
        <v>0</v>
      </c>
      <c r="AN53" s="79">
        <f t="shared" si="28"/>
        <v>0</v>
      </c>
      <c r="AO53" s="79">
        <f t="shared" si="28"/>
        <v>0</v>
      </c>
      <c r="AP53" s="79">
        <f t="shared" si="28"/>
        <v>0</v>
      </c>
      <c r="AQ53" s="79">
        <f t="shared" si="28"/>
        <v>0</v>
      </c>
      <c r="AR53" s="57" t="s">
        <v>49</v>
      </c>
    </row>
    <row r="54" spans="1:44">
      <c r="A54" s="36"/>
      <c r="B54" s="14" t="s">
        <v>50</v>
      </c>
      <c r="C54" s="79"/>
      <c r="D54" s="79">
        <f t="shared" ref="D54:AQ54" si="29">$C$9*(IF(D92=0,-1, IF(D92=$H$19, 1, 0)))</f>
        <v>0</v>
      </c>
      <c r="E54" s="79">
        <f t="shared" si="29"/>
        <v>0</v>
      </c>
      <c r="F54" s="79">
        <f t="shared" si="29"/>
        <v>0</v>
      </c>
      <c r="G54" s="79">
        <f t="shared" si="29"/>
        <v>0</v>
      </c>
      <c r="H54" s="79">
        <f t="shared" si="29"/>
        <v>0</v>
      </c>
      <c r="I54" s="79">
        <f t="shared" si="29"/>
        <v>0</v>
      </c>
      <c r="J54" s="79">
        <f t="shared" si="29"/>
        <v>0</v>
      </c>
      <c r="K54" s="79">
        <f t="shared" si="29"/>
        <v>0</v>
      </c>
      <c r="L54" s="79">
        <f t="shared" si="29"/>
        <v>0</v>
      </c>
      <c r="M54" s="79">
        <f t="shared" si="29"/>
        <v>0</v>
      </c>
      <c r="N54" s="79">
        <f t="shared" si="29"/>
        <v>0</v>
      </c>
      <c r="O54" s="79">
        <f t="shared" si="29"/>
        <v>0</v>
      </c>
      <c r="P54" s="79">
        <f t="shared" si="29"/>
        <v>0</v>
      </c>
      <c r="Q54" s="79">
        <f t="shared" si="29"/>
        <v>0</v>
      </c>
      <c r="R54" s="79">
        <f t="shared" si="29"/>
        <v>694630.8714506937</v>
      </c>
      <c r="S54" s="79">
        <f t="shared" si="29"/>
        <v>0</v>
      </c>
      <c r="T54" s="79">
        <f t="shared" si="29"/>
        <v>0</v>
      </c>
      <c r="U54" s="79">
        <f t="shared" si="29"/>
        <v>0</v>
      </c>
      <c r="V54" s="79">
        <f t="shared" si="29"/>
        <v>0</v>
      </c>
      <c r="W54" s="79">
        <f t="shared" si="29"/>
        <v>0</v>
      </c>
      <c r="X54" s="79">
        <f t="shared" si="29"/>
        <v>0</v>
      </c>
      <c r="Y54" s="79">
        <f t="shared" si="29"/>
        <v>0</v>
      </c>
      <c r="Z54" s="79">
        <f t="shared" si="29"/>
        <v>0</v>
      </c>
      <c r="AA54" s="79">
        <f t="shared" si="29"/>
        <v>0</v>
      </c>
      <c r="AB54" s="79">
        <f t="shared" si="29"/>
        <v>0</v>
      </c>
      <c r="AC54" s="79">
        <f t="shared" si="29"/>
        <v>0</v>
      </c>
      <c r="AD54" s="79">
        <f t="shared" si="29"/>
        <v>0</v>
      </c>
      <c r="AE54" s="79">
        <f t="shared" si="29"/>
        <v>0</v>
      </c>
      <c r="AF54" s="79">
        <f t="shared" si="29"/>
        <v>0</v>
      </c>
      <c r="AG54" s="79">
        <f t="shared" si="29"/>
        <v>0</v>
      </c>
      <c r="AH54" s="79">
        <f t="shared" si="29"/>
        <v>0</v>
      </c>
      <c r="AI54" s="79">
        <f t="shared" si="29"/>
        <v>0</v>
      </c>
      <c r="AJ54" s="79">
        <f t="shared" si="29"/>
        <v>0</v>
      </c>
      <c r="AK54" s="79">
        <f t="shared" si="29"/>
        <v>0</v>
      </c>
      <c r="AL54" s="79">
        <f t="shared" si="29"/>
        <v>0</v>
      </c>
      <c r="AM54" s="79">
        <f t="shared" si="29"/>
        <v>0</v>
      </c>
      <c r="AN54" s="79">
        <f t="shared" si="29"/>
        <v>0</v>
      </c>
      <c r="AO54" s="79">
        <f t="shared" si="29"/>
        <v>0</v>
      </c>
      <c r="AP54" s="79">
        <f t="shared" si="29"/>
        <v>0</v>
      </c>
      <c r="AQ54" s="79">
        <f t="shared" si="29"/>
        <v>0</v>
      </c>
      <c r="AR54" s="57" t="s">
        <v>50</v>
      </c>
    </row>
    <row r="55" spans="1:44">
      <c r="A55" s="36"/>
      <c r="B55" s="14" t="s">
        <v>51</v>
      </c>
      <c r="C55" s="79"/>
      <c r="D55" s="79">
        <f>D124</f>
        <v>38204.697929788155</v>
      </c>
      <c r="E55" s="79">
        <f t="shared" ref="E55:AQ55" si="30">E124</f>
        <v>38204.697929788155</v>
      </c>
      <c r="F55" s="79">
        <f t="shared" si="30"/>
        <v>38204.697929788155</v>
      </c>
      <c r="G55" s="79">
        <f t="shared" si="30"/>
        <v>38204.697929788155</v>
      </c>
      <c r="H55" s="79">
        <f t="shared" si="30"/>
        <v>38204.697929788155</v>
      </c>
      <c r="I55" s="79">
        <f t="shared" si="30"/>
        <v>38204.697929788155</v>
      </c>
      <c r="J55" s="79">
        <f t="shared" si="30"/>
        <v>38204.697929788155</v>
      </c>
      <c r="K55" s="79">
        <f t="shared" si="30"/>
        <v>38204.697929788155</v>
      </c>
      <c r="L55" s="79">
        <f t="shared" si="30"/>
        <v>38204.697929788155</v>
      </c>
      <c r="M55" s="79">
        <f t="shared" si="30"/>
        <v>38204.697929788155</v>
      </c>
      <c r="N55" s="79">
        <f t="shared" si="30"/>
        <v>38204.697929788155</v>
      </c>
      <c r="O55" s="79">
        <f t="shared" si="30"/>
        <v>38204.697929788155</v>
      </c>
      <c r="P55" s="79">
        <f t="shared" si="30"/>
        <v>38204.697929788155</v>
      </c>
      <c r="Q55" s="79">
        <f t="shared" si="30"/>
        <v>38204.697929788155</v>
      </c>
      <c r="R55" s="79">
        <f t="shared" si="30"/>
        <v>38204.697929788155</v>
      </c>
      <c r="S55" s="79">
        <f t="shared" si="30"/>
        <v>0</v>
      </c>
      <c r="T55" s="79">
        <f t="shared" si="30"/>
        <v>0</v>
      </c>
      <c r="U55" s="79">
        <f t="shared" si="30"/>
        <v>0</v>
      </c>
      <c r="V55" s="79">
        <f t="shared" si="30"/>
        <v>0</v>
      </c>
      <c r="W55" s="79">
        <f t="shared" si="30"/>
        <v>0</v>
      </c>
      <c r="X55" s="79">
        <f t="shared" si="30"/>
        <v>0</v>
      </c>
      <c r="Y55" s="79">
        <f t="shared" si="30"/>
        <v>0</v>
      </c>
      <c r="Z55" s="79">
        <f t="shared" si="30"/>
        <v>0</v>
      </c>
      <c r="AA55" s="79">
        <f t="shared" si="30"/>
        <v>0</v>
      </c>
      <c r="AB55" s="79">
        <f t="shared" si="30"/>
        <v>0</v>
      </c>
      <c r="AC55" s="79">
        <f t="shared" si="30"/>
        <v>0</v>
      </c>
      <c r="AD55" s="79">
        <f t="shared" si="30"/>
        <v>0</v>
      </c>
      <c r="AE55" s="79">
        <f t="shared" si="30"/>
        <v>0</v>
      </c>
      <c r="AF55" s="79">
        <f t="shared" si="30"/>
        <v>0</v>
      </c>
      <c r="AG55" s="79">
        <f t="shared" si="30"/>
        <v>0</v>
      </c>
      <c r="AH55" s="79">
        <f t="shared" si="30"/>
        <v>0</v>
      </c>
      <c r="AI55" s="79">
        <f t="shared" si="30"/>
        <v>0</v>
      </c>
      <c r="AJ55" s="79">
        <f t="shared" si="30"/>
        <v>0</v>
      </c>
      <c r="AK55" s="79">
        <f t="shared" si="30"/>
        <v>0</v>
      </c>
      <c r="AL55" s="79">
        <f t="shared" si="30"/>
        <v>0</v>
      </c>
      <c r="AM55" s="79">
        <f t="shared" si="30"/>
        <v>0</v>
      </c>
      <c r="AN55" s="79">
        <f t="shared" si="30"/>
        <v>0</v>
      </c>
      <c r="AO55" s="79">
        <f t="shared" si="30"/>
        <v>0</v>
      </c>
      <c r="AP55" s="79">
        <f t="shared" si="30"/>
        <v>0</v>
      </c>
      <c r="AQ55" s="79">
        <f t="shared" si="30"/>
        <v>0</v>
      </c>
      <c r="AR55" s="57" t="s">
        <v>51</v>
      </c>
    </row>
    <row r="56" spans="1:44">
      <c r="A56" s="81"/>
      <c r="B56" s="82" t="s">
        <v>52</v>
      </c>
      <c r="C56" s="83"/>
      <c r="D56" s="83">
        <f t="shared" ref="D56:AQ56" si="31">D52+D53+D54+D55</f>
        <v>-675745.97522550402</v>
      </c>
      <c r="E56" s="83">
        <f t="shared" si="31"/>
        <v>-675745.97522550402</v>
      </c>
      <c r="F56" s="83">
        <f t="shared" si="31"/>
        <v>-675745.97522550402</v>
      </c>
      <c r="G56" s="83">
        <f t="shared" si="31"/>
        <v>-675745.97522550402</v>
      </c>
      <c r="H56" s="83">
        <f t="shared" si="31"/>
        <v>-675745.97522550402</v>
      </c>
      <c r="I56" s="83">
        <f t="shared" si="31"/>
        <v>-675745.97522550402</v>
      </c>
      <c r="J56" s="83">
        <f t="shared" si="31"/>
        <v>-675745.97522550402</v>
      </c>
      <c r="K56" s="83">
        <f t="shared" si="31"/>
        <v>-675745.97522550402</v>
      </c>
      <c r="L56" s="83">
        <f t="shared" si="31"/>
        <v>-675745.97522550402</v>
      </c>
      <c r="M56" s="83">
        <f t="shared" si="31"/>
        <v>-675745.97522550402</v>
      </c>
      <c r="N56" s="83">
        <f t="shared" si="31"/>
        <v>-675745.97522550402</v>
      </c>
      <c r="O56" s="83">
        <f t="shared" si="31"/>
        <v>-675745.97522550402</v>
      </c>
      <c r="P56" s="83">
        <f t="shared" si="31"/>
        <v>-675745.97522550402</v>
      </c>
      <c r="Q56" s="83">
        <f t="shared" si="31"/>
        <v>-675745.97522550402</v>
      </c>
      <c r="R56" s="83">
        <f t="shared" si="31"/>
        <v>18884.896225189681</v>
      </c>
      <c r="S56" s="83">
        <f t="shared" si="31"/>
        <v>0</v>
      </c>
      <c r="T56" s="83">
        <f t="shared" si="31"/>
        <v>0</v>
      </c>
      <c r="U56" s="83">
        <f t="shared" si="31"/>
        <v>0</v>
      </c>
      <c r="V56" s="83">
        <f t="shared" si="31"/>
        <v>0</v>
      </c>
      <c r="W56" s="83">
        <f t="shared" si="31"/>
        <v>0</v>
      </c>
      <c r="X56" s="83">
        <f t="shared" si="31"/>
        <v>0</v>
      </c>
      <c r="Y56" s="83">
        <f t="shared" si="31"/>
        <v>0</v>
      </c>
      <c r="Z56" s="83">
        <f t="shared" si="31"/>
        <v>0</v>
      </c>
      <c r="AA56" s="83">
        <f t="shared" si="31"/>
        <v>0</v>
      </c>
      <c r="AB56" s="83">
        <f t="shared" si="31"/>
        <v>0</v>
      </c>
      <c r="AC56" s="83">
        <f t="shared" si="31"/>
        <v>0</v>
      </c>
      <c r="AD56" s="83">
        <f t="shared" si="31"/>
        <v>0</v>
      </c>
      <c r="AE56" s="83">
        <f t="shared" si="31"/>
        <v>0</v>
      </c>
      <c r="AF56" s="83">
        <f t="shared" si="31"/>
        <v>0</v>
      </c>
      <c r="AG56" s="83">
        <f t="shared" si="31"/>
        <v>0</v>
      </c>
      <c r="AH56" s="83">
        <f t="shared" si="31"/>
        <v>0</v>
      </c>
      <c r="AI56" s="83">
        <f t="shared" si="31"/>
        <v>0</v>
      </c>
      <c r="AJ56" s="83">
        <f t="shared" si="31"/>
        <v>0</v>
      </c>
      <c r="AK56" s="83">
        <f t="shared" si="31"/>
        <v>0</v>
      </c>
      <c r="AL56" s="83">
        <f t="shared" si="31"/>
        <v>0</v>
      </c>
      <c r="AM56" s="83">
        <f t="shared" si="31"/>
        <v>0</v>
      </c>
      <c r="AN56" s="83">
        <f t="shared" si="31"/>
        <v>0</v>
      </c>
      <c r="AO56" s="83">
        <f t="shared" si="31"/>
        <v>0</v>
      </c>
      <c r="AP56" s="83">
        <f t="shared" si="31"/>
        <v>0</v>
      </c>
      <c r="AQ56" s="83">
        <f t="shared" si="31"/>
        <v>0</v>
      </c>
      <c r="AR56" s="84" t="s">
        <v>52</v>
      </c>
    </row>
    <row r="57" spans="1:44">
      <c r="A57" s="85"/>
      <c r="B57" s="85"/>
      <c r="C57" s="86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8"/>
    </row>
    <row r="58" spans="1:44">
      <c r="A58" s="85"/>
      <c r="B58" s="149"/>
      <c r="C58" s="86"/>
      <c r="D58" s="148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8"/>
    </row>
    <row r="59" spans="1:44">
      <c r="A59" s="36"/>
      <c r="B59" s="89" t="s">
        <v>53</v>
      </c>
      <c r="C59" s="55"/>
      <c r="D59" s="55">
        <f>D77</f>
        <v>363559.4486317914</v>
      </c>
      <c r="E59" s="55">
        <f t="shared" ref="E59:AQ59" si="32">E77</f>
        <v>637570.21705349186</v>
      </c>
      <c r="F59" s="55">
        <f t="shared" si="32"/>
        <v>351049.44648612489</v>
      </c>
      <c r="G59" s="55">
        <f t="shared" si="32"/>
        <v>179333.85630876431</v>
      </c>
      <c r="H59" s="55">
        <f t="shared" si="32"/>
        <v>179948.82377040666</v>
      </c>
      <c r="I59" s="55">
        <f t="shared" si="32"/>
        <v>50777.470140656078</v>
      </c>
      <c r="J59" s="55">
        <f t="shared" si="32"/>
        <v>-78731.577259928279</v>
      </c>
      <c r="K59" s="55">
        <f t="shared" si="32"/>
        <v>-79132.44949327971</v>
      </c>
      <c r="L59" s="55">
        <f t="shared" si="32"/>
        <v>-79923.129804443</v>
      </c>
      <c r="M59" s="55">
        <f t="shared" si="32"/>
        <v>-81134.580012327584</v>
      </c>
      <c r="N59" s="55">
        <f t="shared" si="32"/>
        <v>-74559.753068292077</v>
      </c>
      <c r="O59" s="55">
        <f t="shared" si="32"/>
        <v>-76720.995754005504</v>
      </c>
      <c r="P59" s="55">
        <f t="shared" si="32"/>
        <v>-79419.995927088326</v>
      </c>
      <c r="Q59" s="55">
        <f t="shared" si="32"/>
        <v>-82705.279208162086</v>
      </c>
      <c r="R59" s="55">
        <f t="shared" si="32"/>
        <v>-86631.010541423573</v>
      </c>
      <c r="S59" s="55">
        <f t="shared" si="32"/>
        <v>3497.0659391322229</v>
      </c>
      <c r="T59" s="55">
        <f t="shared" si="32"/>
        <v>2672.8686909611711</v>
      </c>
      <c r="U59" s="55">
        <f t="shared" si="32"/>
        <v>1851.2214568550605</v>
      </c>
      <c r="V59" s="55">
        <f t="shared" si="32"/>
        <v>1032.2193919171184</v>
      </c>
      <c r="W59" s="55">
        <f t="shared" si="32"/>
        <v>215.96031878301989</v>
      </c>
      <c r="X59" s="55">
        <f t="shared" si="32"/>
        <v>7644.294794205618</v>
      </c>
      <c r="Y59" s="55">
        <f t="shared" si="32"/>
        <v>6833.8261772008218</v>
      </c>
      <c r="Z59" s="55">
        <f t="shared" si="32"/>
        <v>6026.4106987890218</v>
      </c>
      <c r="AA59" s="55">
        <f t="shared" si="32"/>
        <v>5222.1575333688934</v>
      </c>
      <c r="AB59" s="55">
        <f t="shared" si="32"/>
        <v>-70503.821128240437</v>
      </c>
      <c r="AC59" s="55">
        <f t="shared" si="32"/>
        <v>17718.54474021908</v>
      </c>
      <c r="AD59" s="55">
        <f t="shared" si="32"/>
        <v>0</v>
      </c>
      <c r="AE59" s="55">
        <f t="shared" si="32"/>
        <v>0</v>
      </c>
      <c r="AF59" s="55">
        <f t="shared" si="32"/>
        <v>0</v>
      </c>
      <c r="AG59" s="55">
        <f t="shared" si="32"/>
        <v>0</v>
      </c>
      <c r="AH59" s="55">
        <f t="shared" si="32"/>
        <v>0</v>
      </c>
      <c r="AI59" s="55">
        <f t="shared" si="32"/>
        <v>0</v>
      </c>
      <c r="AJ59" s="55">
        <f t="shared" si="32"/>
        <v>0</v>
      </c>
      <c r="AK59" s="55">
        <f t="shared" si="32"/>
        <v>0</v>
      </c>
      <c r="AL59" s="55">
        <f t="shared" si="32"/>
        <v>0</v>
      </c>
      <c r="AM59" s="55">
        <f t="shared" si="32"/>
        <v>0</v>
      </c>
      <c r="AN59" s="55">
        <f t="shared" si="32"/>
        <v>0</v>
      </c>
      <c r="AO59" s="55">
        <f t="shared" si="32"/>
        <v>0</v>
      </c>
      <c r="AP59" s="55">
        <f t="shared" si="32"/>
        <v>0</v>
      </c>
      <c r="AQ59" s="55">
        <f t="shared" si="32"/>
        <v>0</v>
      </c>
      <c r="AR59" s="90" t="s">
        <v>53</v>
      </c>
    </row>
    <row r="60" spans="1:44">
      <c r="A60" s="9"/>
      <c r="B60" s="46" t="s">
        <v>54</v>
      </c>
      <c r="C60" s="55"/>
      <c r="D60" s="55">
        <f>D88+D87</f>
        <v>8725248.2546488233</v>
      </c>
      <c r="E60" s="55">
        <f t="shared" ref="E60:AQ60" si="33">E88+E87</f>
        <v>1836710.1570170794</v>
      </c>
      <c r="F60" s="55">
        <f t="shared" si="33"/>
        <v>990576.98562034196</v>
      </c>
      <c r="G60" s="55">
        <f t="shared" si="33"/>
        <v>483593.79149268253</v>
      </c>
      <c r="H60" s="55">
        <f t="shared" si="33"/>
        <v>485770.09300971689</v>
      </c>
      <c r="I60" s="55">
        <f t="shared" si="33"/>
        <v>104171.42488665515</v>
      </c>
      <c r="J60" s="55">
        <f t="shared" si="33"/>
        <v>-278622.30396985728</v>
      </c>
      <c r="K60" s="55">
        <f t="shared" si="33"/>
        <v>-280040.94626232877</v>
      </c>
      <c r="L60" s="55">
        <f t="shared" si="33"/>
        <v>-282839.07603016775</v>
      </c>
      <c r="M60" s="55">
        <f t="shared" si="33"/>
        <v>-287126.26371029264</v>
      </c>
      <c r="N60" s="55">
        <f t="shared" si="33"/>
        <v>-263858.68169167807</v>
      </c>
      <c r="O60" s="55">
        <f t="shared" si="33"/>
        <v>-271507.07941834169</v>
      </c>
      <c r="P60" s="55">
        <f t="shared" si="33"/>
        <v>-281058.54114197369</v>
      </c>
      <c r="Q60" s="55">
        <f t="shared" si="33"/>
        <v>-292684.79364221799</v>
      </c>
      <c r="R60" s="55">
        <f t="shared" si="33"/>
        <v>-306577.52063826006</v>
      </c>
      <c r="S60" s="55">
        <f t="shared" si="33"/>
        <v>12375.727795706811</v>
      </c>
      <c r="T60" s="55">
        <f t="shared" si="33"/>
        <v>9458.985311901477</v>
      </c>
      <c r="U60" s="55">
        <f t="shared" si="33"/>
        <v>6551.2670445370759</v>
      </c>
      <c r="V60" s="55">
        <f t="shared" si="33"/>
        <v>3652.9097369511351</v>
      </c>
      <c r="W60" s="55">
        <f t="shared" si="33"/>
        <v>764.25957258213157</v>
      </c>
      <c r="X60" s="55">
        <f t="shared" si="33"/>
        <v>27052.309910605436</v>
      </c>
      <c r="Y60" s="55">
        <f t="shared" si="33"/>
        <v>24184.151527094014</v>
      </c>
      <c r="Z60" s="55">
        <f t="shared" si="33"/>
        <v>21326.797861825595</v>
      </c>
      <c r="AA60" s="55">
        <f t="shared" si="33"/>
        <v>18480.63527086658</v>
      </c>
      <c r="AB60" s="55">
        <f t="shared" si="33"/>
        <v>-249505.18921493975</v>
      </c>
      <c r="AC60" s="55">
        <f t="shared" si="33"/>
        <v>62703.961108441967</v>
      </c>
      <c r="AD60" s="55">
        <f t="shared" si="33"/>
        <v>0</v>
      </c>
      <c r="AE60" s="55">
        <f t="shared" si="33"/>
        <v>0</v>
      </c>
      <c r="AF60" s="55">
        <f t="shared" si="33"/>
        <v>0</v>
      </c>
      <c r="AG60" s="55">
        <f t="shared" si="33"/>
        <v>0</v>
      </c>
      <c r="AH60" s="55">
        <f t="shared" si="33"/>
        <v>0</v>
      </c>
      <c r="AI60" s="55">
        <f t="shared" si="33"/>
        <v>0</v>
      </c>
      <c r="AJ60" s="55">
        <f t="shared" si="33"/>
        <v>0</v>
      </c>
      <c r="AK60" s="55">
        <f t="shared" si="33"/>
        <v>0</v>
      </c>
      <c r="AL60" s="55">
        <f t="shared" si="33"/>
        <v>0</v>
      </c>
      <c r="AM60" s="55">
        <f t="shared" si="33"/>
        <v>0</v>
      </c>
      <c r="AN60" s="55">
        <f t="shared" si="33"/>
        <v>0</v>
      </c>
      <c r="AO60" s="55">
        <f t="shared" si="33"/>
        <v>0</v>
      </c>
      <c r="AP60" s="55">
        <f t="shared" si="33"/>
        <v>0</v>
      </c>
      <c r="AQ60" s="55">
        <f t="shared" si="33"/>
        <v>0</v>
      </c>
      <c r="AR60" s="91" t="s">
        <v>54</v>
      </c>
    </row>
    <row r="61" spans="1:44">
      <c r="A61" s="9"/>
      <c r="B61" s="67" t="s">
        <v>55</v>
      </c>
      <c r="C61" s="68"/>
      <c r="D61" s="68">
        <f>D89</f>
        <v>9088807.7032806147</v>
      </c>
      <c r="E61" s="68">
        <f t="shared" ref="E61:AQ61" si="34">E89</f>
        <v>2474280.3740705713</v>
      </c>
      <c r="F61" s="68">
        <f t="shared" si="34"/>
        <v>1341626.432106467</v>
      </c>
      <c r="G61" s="68">
        <f t="shared" si="34"/>
        <v>662927.64780144684</v>
      </c>
      <c r="H61" s="68">
        <f t="shared" si="34"/>
        <v>665718.91678012349</v>
      </c>
      <c r="I61" s="68">
        <f t="shared" si="34"/>
        <v>154948.89502731123</v>
      </c>
      <c r="J61" s="68">
        <f t="shared" si="34"/>
        <v>-357353.88122978556</v>
      </c>
      <c r="K61" s="68">
        <f t="shared" si="34"/>
        <v>-359173.39575560845</v>
      </c>
      <c r="L61" s="68">
        <f t="shared" si="34"/>
        <v>-362762.20583461074</v>
      </c>
      <c r="M61" s="68">
        <f t="shared" si="34"/>
        <v>-368260.84372262022</v>
      </c>
      <c r="N61" s="68">
        <f t="shared" si="34"/>
        <v>-338418.43475997017</v>
      </c>
      <c r="O61" s="68">
        <f t="shared" si="34"/>
        <v>-348228.07517234719</v>
      </c>
      <c r="P61" s="68">
        <f t="shared" si="34"/>
        <v>-360478.537069062</v>
      </c>
      <c r="Q61" s="68">
        <f t="shared" si="34"/>
        <v>-375390.07285038009</v>
      </c>
      <c r="R61" s="68">
        <f t="shared" si="34"/>
        <v>-393208.53117968363</v>
      </c>
      <c r="S61" s="68">
        <f t="shared" si="34"/>
        <v>15872.793734839033</v>
      </c>
      <c r="T61" s="68">
        <f t="shared" si="34"/>
        <v>12131.854002862648</v>
      </c>
      <c r="U61" s="68">
        <f t="shared" si="34"/>
        <v>8402.4885013921357</v>
      </c>
      <c r="V61" s="68">
        <f t="shared" si="34"/>
        <v>4685.1291288682532</v>
      </c>
      <c r="W61" s="68">
        <f t="shared" si="34"/>
        <v>980.2198913651514</v>
      </c>
      <c r="X61" s="68">
        <f t="shared" si="34"/>
        <v>34696.604704811056</v>
      </c>
      <c r="Y61" s="68">
        <f t="shared" si="34"/>
        <v>31017.977704294837</v>
      </c>
      <c r="Z61" s="68">
        <f t="shared" si="34"/>
        <v>27353.208560614617</v>
      </c>
      <c r="AA61" s="68">
        <f t="shared" si="34"/>
        <v>23702.792804235472</v>
      </c>
      <c r="AB61" s="68">
        <f t="shared" si="34"/>
        <v>-320009.01034318015</v>
      </c>
      <c r="AC61" s="68">
        <f t="shared" si="34"/>
        <v>80422.505848661051</v>
      </c>
      <c r="AD61" s="68">
        <f t="shared" si="34"/>
        <v>0</v>
      </c>
      <c r="AE61" s="68">
        <f t="shared" si="34"/>
        <v>0</v>
      </c>
      <c r="AF61" s="68">
        <f t="shared" si="34"/>
        <v>0</v>
      </c>
      <c r="AG61" s="68">
        <f t="shared" si="34"/>
        <v>0</v>
      </c>
      <c r="AH61" s="68">
        <f t="shared" si="34"/>
        <v>0</v>
      </c>
      <c r="AI61" s="68">
        <f t="shared" si="34"/>
        <v>0</v>
      </c>
      <c r="AJ61" s="68">
        <f t="shared" si="34"/>
        <v>0</v>
      </c>
      <c r="AK61" s="68">
        <f t="shared" si="34"/>
        <v>0</v>
      </c>
      <c r="AL61" s="68">
        <f t="shared" si="34"/>
        <v>0</v>
      </c>
      <c r="AM61" s="68">
        <f t="shared" si="34"/>
        <v>0</v>
      </c>
      <c r="AN61" s="68">
        <f t="shared" si="34"/>
        <v>0</v>
      </c>
      <c r="AO61" s="68">
        <f t="shared" si="34"/>
        <v>0</v>
      </c>
      <c r="AP61" s="68">
        <f t="shared" si="34"/>
        <v>0</v>
      </c>
      <c r="AQ61" s="68">
        <f t="shared" si="34"/>
        <v>0</v>
      </c>
      <c r="AR61" s="69" t="s">
        <v>55</v>
      </c>
    </row>
    <row r="62" spans="1:44">
      <c r="A62" s="51"/>
      <c r="B62" s="23"/>
      <c r="C62" s="23"/>
      <c r="D62" s="23"/>
      <c r="E62" s="92"/>
      <c r="F62" s="46"/>
      <c r="G62" s="46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93"/>
    </row>
    <row r="63" spans="1:44">
      <c r="B63" s="14" t="s">
        <v>56</v>
      </c>
      <c r="C63" s="66">
        <f>-H25</f>
        <v>-20535704.697160557</v>
      </c>
      <c r="D63" s="23"/>
      <c r="E63" s="59"/>
      <c r="F63" s="55"/>
      <c r="G63" s="55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7" t="s">
        <v>56</v>
      </c>
    </row>
    <row r="64" spans="1:44">
      <c r="B64" s="14"/>
      <c r="C64" s="66"/>
      <c r="D64" s="23"/>
      <c r="E64" s="59"/>
      <c r="F64" s="55"/>
      <c r="G64" s="55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7"/>
    </row>
    <row r="65" spans="1:44" ht="15.75" thickBot="1">
      <c r="B65" s="94" t="s">
        <v>57</v>
      </c>
      <c r="C65" s="95">
        <f>C42+C48+C56+C63+C60</f>
        <v>-20535704.697160557</v>
      </c>
      <c r="D65" s="95">
        <f t="shared" ref="D65:AB65" si="35">D42+D48+D56+D61+D40</f>
        <v>11464428.520055111</v>
      </c>
      <c r="E65" s="95">
        <f t="shared" si="35"/>
        <v>4712470.9146933276</v>
      </c>
      <c r="F65" s="95">
        <f t="shared" si="35"/>
        <v>3507447.60050683</v>
      </c>
      <c r="G65" s="95">
        <f t="shared" si="35"/>
        <v>2758601.1653912137</v>
      </c>
      <c r="H65" s="95">
        <f t="shared" si="35"/>
        <v>2693404.5848115059</v>
      </c>
      <c r="I65" s="95">
        <f t="shared" si="35"/>
        <v>2116746.2477564504</v>
      </c>
      <c r="J65" s="95">
        <f t="shared" si="35"/>
        <v>1540596.0303012987</v>
      </c>
      <c r="K65" s="95">
        <f t="shared" si="35"/>
        <v>1476912.8502939427</v>
      </c>
      <c r="L65" s="95">
        <f t="shared" si="35"/>
        <v>1413388.569951742</v>
      </c>
      <c r="M65" s="95">
        <f t="shared" si="35"/>
        <v>1349828.5517067779</v>
      </c>
      <c r="N65" s="95">
        <f t="shared" si="35"/>
        <v>1231855.9985280531</v>
      </c>
      <c r="O65" s="95">
        <f t="shared" si="35"/>
        <v>1167576.5356628704</v>
      </c>
      <c r="P65" s="95">
        <f t="shared" si="35"/>
        <v>1102576.4662567191</v>
      </c>
      <c r="Q65" s="95">
        <f t="shared" si="35"/>
        <v>1036586.9286098931</v>
      </c>
      <c r="R65" s="95">
        <f t="shared" si="35"/>
        <v>1663945.6143364341</v>
      </c>
      <c r="S65" s="95">
        <f t="shared" si="35"/>
        <v>-22983.494477741224</v>
      </c>
      <c r="T65" s="95">
        <f t="shared" si="35"/>
        <v>-17566.687007817029</v>
      </c>
      <c r="U65" s="95">
        <f t="shared" si="35"/>
        <v>-12166.638796997426</v>
      </c>
      <c r="V65" s="95">
        <f t="shared" si="35"/>
        <v>-6783.9752257663949</v>
      </c>
      <c r="W65" s="95">
        <f t="shared" si="35"/>
        <v>-1419.3392062239586</v>
      </c>
      <c r="X65" s="95">
        <f t="shared" si="35"/>
        <v>-50240.004119695812</v>
      </c>
      <c r="Y65" s="95">
        <f t="shared" si="35"/>
        <v>-44913.424264603178</v>
      </c>
      <c r="Z65" s="95">
        <f t="shared" si="35"/>
        <v>-39606.910314818961</v>
      </c>
      <c r="AA65" s="95">
        <f t="shared" si="35"/>
        <v>-34321.179788752226</v>
      </c>
      <c r="AB65" s="95">
        <f t="shared" si="35"/>
        <v>463366.77997060248</v>
      </c>
      <c r="AC65" s="95">
        <f t="shared" ref="AC65:AQ65" si="36">AC42+AC48+AC56+AC61</f>
        <v>-116450.21348710651</v>
      </c>
      <c r="AD65" s="95">
        <f t="shared" si="36"/>
        <v>0</v>
      </c>
      <c r="AE65" s="95">
        <f t="shared" si="36"/>
        <v>0</v>
      </c>
      <c r="AF65" s="95">
        <f t="shared" si="36"/>
        <v>0</v>
      </c>
      <c r="AG65" s="95">
        <f t="shared" si="36"/>
        <v>0</v>
      </c>
      <c r="AH65" s="95">
        <f t="shared" si="36"/>
        <v>0</v>
      </c>
      <c r="AI65" s="95">
        <f t="shared" si="36"/>
        <v>0</v>
      </c>
      <c r="AJ65" s="95">
        <f t="shared" si="36"/>
        <v>0</v>
      </c>
      <c r="AK65" s="95">
        <f t="shared" si="36"/>
        <v>0</v>
      </c>
      <c r="AL65" s="95">
        <f t="shared" si="36"/>
        <v>0</v>
      </c>
      <c r="AM65" s="95">
        <f t="shared" si="36"/>
        <v>0</v>
      </c>
      <c r="AN65" s="95">
        <f t="shared" si="36"/>
        <v>0</v>
      </c>
      <c r="AO65" s="95">
        <f t="shared" si="36"/>
        <v>0</v>
      </c>
      <c r="AP65" s="95">
        <f t="shared" si="36"/>
        <v>0</v>
      </c>
      <c r="AQ65" s="95">
        <f t="shared" si="36"/>
        <v>0</v>
      </c>
      <c r="AR65" s="96" t="s">
        <v>57</v>
      </c>
    </row>
    <row r="66" spans="1:44" ht="15.75" thickTop="1">
      <c r="B66" s="152" t="s">
        <v>117</v>
      </c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3"/>
      <c r="AG66" s="153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99"/>
    </row>
    <row r="67" spans="1:44">
      <c r="B67" s="97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9"/>
    </row>
    <row r="68" spans="1:44">
      <c r="B68" s="100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2"/>
    </row>
    <row r="69" spans="1:44">
      <c r="A69" s="103"/>
      <c r="B69" s="104" t="s">
        <v>58</v>
      </c>
      <c r="C69" s="105">
        <v>0</v>
      </c>
      <c r="D69" s="105">
        <v>1</v>
      </c>
      <c r="E69" s="105">
        <v>2</v>
      </c>
      <c r="F69" s="105">
        <v>3</v>
      </c>
      <c r="G69" s="105">
        <v>4</v>
      </c>
      <c r="H69" s="105">
        <v>5</v>
      </c>
      <c r="I69" s="105">
        <v>6</v>
      </c>
      <c r="J69" s="105">
        <v>7</v>
      </c>
      <c r="K69" s="105">
        <v>8</v>
      </c>
      <c r="L69" s="105">
        <v>9</v>
      </c>
      <c r="M69" s="105">
        <v>10</v>
      </c>
      <c r="N69" s="105">
        <v>11</v>
      </c>
      <c r="O69" s="105">
        <v>12</v>
      </c>
      <c r="P69" s="105">
        <v>13</v>
      </c>
      <c r="Q69" s="105">
        <v>14</v>
      </c>
      <c r="R69" s="105">
        <v>15</v>
      </c>
      <c r="S69" s="105">
        <v>16</v>
      </c>
      <c r="T69" s="105">
        <v>17</v>
      </c>
      <c r="U69" s="105">
        <v>18</v>
      </c>
      <c r="V69" s="105">
        <v>19</v>
      </c>
      <c r="W69" s="105">
        <v>20</v>
      </c>
      <c r="X69" s="105">
        <v>21</v>
      </c>
      <c r="Y69" s="105">
        <v>22</v>
      </c>
      <c r="Z69" s="105">
        <v>23</v>
      </c>
      <c r="AA69" s="105">
        <v>24</v>
      </c>
      <c r="AB69" s="105">
        <v>25</v>
      </c>
      <c r="AC69" s="105">
        <v>26</v>
      </c>
      <c r="AD69" s="105">
        <v>27</v>
      </c>
      <c r="AE69" s="105">
        <v>28</v>
      </c>
      <c r="AF69" s="105">
        <v>29</v>
      </c>
      <c r="AG69" s="105">
        <v>30</v>
      </c>
      <c r="AH69" s="105">
        <v>31</v>
      </c>
      <c r="AI69" s="105">
        <v>32</v>
      </c>
      <c r="AJ69" s="105">
        <v>33</v>
      </c>
      <c r="AK69" s="105">
        <v>34</v>
      </c>
      <c r="AL69" s="105">
        <v>35</v>
      </c>
      <c r="AM69" s="105">
        <v>36</v>
      </c>
      <c r="AN69" s="105">
        <v>37</v>
      </c>
      <c r="AO69" s="105">
        <v>38</v>
      </c>
      <c r="AP69" s="105">
        <v>39</v>
      </c>
      <c r="AQ69" s="105">
        <v>40</v>
      </c>
      <c r="AR69" s="69"/>
    </row>
    <row r="70" spans="1:44">
      <c r="A70" s="103"/>
      <c r="B70" s="97" t="s">
        <v>104</v>
      </c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69"/>
    </row>
    <row r="71" spans="1:44">
      <c r="B71" s="106" t="s">
        <v>59</v>
      </c>
      <c r="C71" s="98"/>
      <c r="D71" s="107">
        <f t="shared" ref="D71:AB71" si="37">(D48+D41+D55+D40)</f>
        <v>1520182.4499297882</v>
      </c>
      <c r="E71" s="107">
        <f t="shared" si="37"/>
        <v>1456204.2890171681</v>
      </c>
      <c r="F71" s="107">
        <f t="shared" si="37"/>
        <v>1424748.7916869854</v>
      </c>
      <c r="G71" s="107">
        <f t="shared" si="37"/>
        <v>1394396.0212902976</v>
      </c>
      <c r="H71" s="107">
        <f t="shared" si="37"/>
        <v>1365114.6621665007</v>
      </c>
      <c r="I71" s="107">
        <f t="shared" si="37"/>
        <v>1336874.2147854592</v>
      </c>
      <c r="J71" s="107">
        <f t="shared" si="37"/>
        <v>1309644.9723209613</v>
      </c>
      <c r="K71" s="107">
        <f t="shared" si="37"/>
        <v>1283397.997837622</v>
      </c>
      <c r="L71" s="107">
        <f t="shared" si="37"/>
        <v>1258105.1020738173</v>
      </c>
      <c r="M71" s="107">
        <f t="shared" si="37"/>
        <v>1233738.8218036979</v>
      </c>
      <c r="N71" s="107">
        <f t="shared" si="37"/>
        <v>1118697.398761783</v>
      </c>
      <c r="O71" s="107">
        <f t="shared" si="37"/>
        <v>1096104.7591140671</v>
      </c>
      <c r="P71" s="107">
        <f t="shared" si="37"/>
        <v>1074360.4934600014</v>
      </c>
      <c r="Q71" s="107">
        <f t="shared" si="37"/>
        <v>1053439.8373501198</v>
      </c>
      <c r="R71" s="107">
        <f t="shared" si="37"/>
        <v>1033318.6523044804</v>
      </c>
      <c r="S71" s="107">
        <f t="shared" si="37"/>
        <v>-38856.288212580257</v>
      </c>
      <c r="T71" s="107">
        <f t="shared" si="37"/>
        <v>-29698.541010679677</v>
      </c>
      <c r="U71" s="107">
        <f t="shared" si="37"/>
        <v>-20569.127298389561</v>
      </c>
      <c r="V71" s="107">
        <f t="shared" si="37"/>
        <v>-11469.104354634648</v>
      </c>
      <c r="W71" s="107">
        <f t="shared" si="37"/>
        <v>-2399.55909758911</v>
      </c>
      <c r="X71" s="107">
        <f t="shared" si="37"/>
        <v>-84936.608824506868</v>
      </c>
      <c r="Y71" s="107">
        <f t="shared" si="37"/>
        <v>-75931.401968898019</v>
      </c>
      <c r="Z71" s="107">
        <f t="shared" si="37"/>
        <v>-66960.118875433574</v>
      </c>
      <c r="AA71" s="107">
        <f t="shared" si="37"/>
        <v>-58023.972592987702</v>
      </c>
      <c r="AB71" s="107">
        <f t="shared" si="37"/>
        <v>783375.79031378264</v>
      </c>
      <c r="AC71" s="107">
        <f t="shared" ref="AC71:AQ71" si="38">(AC48+AC41+AC55)</f>
        <v>-196872.71933576756</v>
      </c>
      <c r="AD71" s="107">
        <f t="shared" si="38"/>
        <v>0</v>
      </c>
      <c r="AE71" s="107">
        <f t="shared" si="38"/>
        <v>0</v>
      </c>
      <c r="AF71" s="107">
        <f t="shared" si="38"/>
        <v>0</v>
      </c>
      <c r="AG71" s="107">
        <f t="shared" si="38"/>
        <v>0</v>
      </c>
      <c r="AH71" s="107">
        <f t="shared" si="38"/>
        <v>0</v>
      </c>
      <c r="AI71" s="107">
        <f t="shared" si="38"/>
        <v>0</v>
      </c>
      <c r="AJ71" s="107">
        <f t="shared" si="38"/>
        <v>0</v>
      </c>
      <c r="AK71" s="107">
        <f t="shared" si="38"/>
        <v>0</v>
      </c>
      <c r="AL71" s="107">
        <f t="shared" si="38"/>
        <v>0</v>
      </c>
      <c r="AM71" s="107">
        <f t="shared" si="38"/>
        <v>0</v>
      </c>
      <c r="AN71" s="107">
        <f t="shared" si="38"/>
        <v>0</v>
      </c>
      <c r="AO71" s="107">
        <f t="shared" si="38"/>
        <v>0</v>
      </c>
      <c r="AP71" s="107">
        <f t="shared" si="38"/>
        <v>0</v>
      </c>
      <c r="AQ71" s="107">
        <f t="shared" si="38"/>
        <v>0</v>
      </c>
      <c r="AR71" s="69"/>
    </row>
    <row r="72" spans="1:44">
      <c r="A72" s="108"/>
      <c r="B72" s="106" t="s">
        <v>60</v>
      </c>
      <c r="C72" s="98"/>
      <c r="D72" s="109">
        <f t="shared" ref="D72:AQ72" si="39">VLOOKUP($H$12,$C$134:$AQ$141,D133+1)</f>
        <v>0.2</v>
      </c>
      <c r="E72" s="109">
        <f t="shared" si="39"/>
        <v>0.32</v>
      </c>
      <c r="F72" s="109">
        <f t="shared" si="39"/>
        <v>0.192</v>
      </c>
      <c r="G72" s="109">
        <f t="shared" si="39"/>
        <v>0.1152</v>
      </c>
      <c r="H72" s="109">
        <f t="shared" si="39"/>
        <v>0.1152</v>
      </c>
      <c r="I72" s="109">
        <f t="shared" si="39"/>
        <v>5.7599999999999998E-2</v>
      </c>
      <c r="J72" s="109">
        <f t="shared" si="39"/>
        <v>0</v>
      </c>
      <c r="K72" s="109">
        <f t="shared" si="39"/>
        <v>0</v>
      </c>
      <c r="L72" s="109">
        <f t="shared" si="39"/>
        <v>0</v>
      </c>
      <c r="M72" s="109">
        <f t="shared" si="39"/>
        <v>0</v>
      </c>
      <c r="N72" s="109">
        <f t="shared" si="39"/>
        <v>0</v>
      </c>
      <c r="O72" s="109">
        <f t="shared" si="39"/>
        <v>0</v>
      </c>
      <c r="P72" s="109">
        <f t="shared" si="39"/>
        <v>0</v>
      </c>
      <c r="Q72" s="109">
        <f t="shared" si="39"/>
        <v>0</v>
      </c>
      <c r="R72" s="109">
        <f t="shared" si="39"/>
        <v>0</v>
      </c>
      <c r="S72" s="109">
        <f t="shared" si="39"/>
        <v>0</v>
      </c>
      <c r="T72" s="109">
        <f t="shared" si="39"/>
        <v>0</v>
      </c>
      <c r="U72" s="109">
        <f t="shared" si="39"/>
        <v>0</v>
      </c>
      <c r="V72" s="109">
        <f t="shared" si="39"/>
        <v>0</v>
      </c>
      <c r="W72" s="109">
        <f t="shared" si="39"/>
        <v>0</v>
      </c>
      <c r="X72" s="109">
        <f t="shared" si="39"/>
        <v>0</v>
      </c>
      <c r="Y72" s="109">
        <f t="shared" si="39"/>
        <v>0</v>
      </c>
      <c r="Z72" s="109">
        <f t="shared" si="39"/>
        <v>0</v>
      </c>
      <c r="AA72" s="109">
        <f t="shared" si="39"/>
        <v>0</v>
      </c>
      <c r="AB72" s="109">
        <f t="shared" si="39"/>
        <v>0</v>
      </c>
      <c r="AC72" s="109">
        <f t="shared" si="39"/>
        <v>0</v>
      </c>
      <c r="AD72" s="109">
        <f t="shared" si="39"/>
        <v>0</v>
      </c>
      <c r="AE72" s="109">
        <f t="shared" si="39"/>
        <v>0</v>
      </c>
      <c r="AF72" s="109">
        <f t="shared" si="39"/>
        <v>0</v>
      </c>
      <c r="AG72" s="109">
        <f t="shared" si="39"/>
        <v>0</v>
      </c>
      <c r="AH72" s="109">
        <f t="shared" si="39"/>
        <v>0</v>
      </c>
      <c r="AI72" s="109">
        <f t="shared" si="39"/>
        <v>0</v>
      </c>
      <c r="AJ72" s="109">
        <f t="shared" si="39"/>
        <v>0</v>
      </c>
      <c r="AK72" s="109">
        <f t="shared" si="39"/>
        <v>0</v>
      </c>
      <c r="AL72" s="109">
        <f t="shared" si="39"/>
        <v>0</v>
      </c>
      <c r="AM72" s="109">
        <f t="shared" si="39"/>
        <v>0</v>
      </c>
      <c r="AN72" s="109">
        <f t="shared" si="39"/>
        <v>0</v>
      </c>
      <c r="AO72" s="109">
        <f t="shared" si="39"/>
        <v>0</v>
      </c>
      <c r="AP72" s="109">
        <f t="shared" si="39"/>
        <v>0</v>
      </c>
      <c r="AQ72" s="109">
        <f t="shared" si="39"/>
        <v>0</v>
      </c>
      <c r="AR72" s="102"/>
    </row>
    <row r="73" spans="1:44">
      <c r="A73" s="108"/>
      <c r="B73" s="106" t="s">
        <v>61</v>
      </c>
      <c r="C73" s="98">
        <f>C8*C7*10^6</f>
        <v>24975000</v>
      </c>
      <c r="D73" s="107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102"/>
    </row>
    <row r="74" spans="1:44">
      <c r="A74" s="108"/>
      <c r="B74" s="108" t="s">
        <v>62</v>
      </c>
      <c r="C74" s="108"/>
      <c r="D74" s="107">
        <f t="shared" ref="D74:AQ74" si="40">+$C73*D72</f>
        <v>4995000</v>
      </c>
      <c r="E74" s="107">
        <f>+$C73*E72</f>
        <v>7992000</v>
      </c>
      <c r="F74" s="107">
        <f>+$C73*F72</f>
        <v>4795200</v>
      </c>
      <c r="G74" s="107">
        <f>+$C73*G72</f>
        <v>2877120</v>
      </c>
      <c r="H74" s="107">
        <f>+$C73*H72</f>
        <v>2877120</v>
      </c>
      <c r="I74" s="107">
        <f t="shared" si="40"/>
        <v>1438560</v>
      </c>
      <c r="J74" s="107">
        <f t="shared" si="40"/>
        <v>0</v>
      </c>
      <c r="K74" s="107">
        <f t="shared" si="40"/>
        <v>0</v>
      </c>
      <c r="L74" s="107">
        <f t="shared" si="40"/>
        <v>0</v>
      </c>
      <c r="M74" s="107">
        <f t="shared" si="40"/>
        <v>0</v>
      </c>
      <c r="N74" s="107">
        <f t="shared" si="40"/>
        <v>0</v>
      </c>
      <c r="O74" s="107">
        <f t="shared" si="40"/>
        <v>0</v>
      </c>
      <c r="P74" s="107">
        <f t="shared" si="40"/>
        <v>0</v>
      </c>
      <c r="Q74" s="107">
        <f t="shared" si="40"/>
        <v>0</v>
      </c>
      <c r="R74" s="107">
        <f t="shared" si="40"/>
        <v>0</v>
      </c>
      <c r="S74" s="107">
        <f t="shared" si="40"/>
        <v>0</v>
      </c>
      <c r="T74" s="107">
        <f t="shared" si="40"/>
        <v>0</v>
      </c>
      <c r="U74" s="107">
        <f t="shared" si="40"/>
        <v>0</v>
      </c>
      <c r="V74" s="107">
        <f t="shared" si="40"/>
        <v>0</v>
      </c>
      <c r="W74" s="107">
        <f t="shared" si="40"/>
        <v>0</v>
      </c>
      <c r="X74" s="107">
        <f t="shared" si="40"/>
        <v>0</v>
      </c>
      <c r="Y74" s="107">
        <f t="shared" si="40"/>
        <v>0</v>
      </c>
      <c r="Z74" s="107">
        <f t="shared" si="40"/>
        <v>0</v>
      </c>
      <c r="AA74" s="107">
        <f t="shared" si="40"/>
        <v>0</v>
      </c>
      <c r="AB74" s="107">
        <f t="shared" si="40"/>
        <v>0</v>
      </c>
      <c r="AC74" s="107">
        <f t="shared" si="40"/>
        <v>0</v>
      </c>
      <c r="AD74" s="107">
        <f t="shared" si="40"/>
        <v>0</v>
      </c>
      <c r="AE74" s="107">
        <f t="shared" si="40"/>
        <v>0</v>
      </c>
      <c r="AF74" s="107">
        <f t="shared" si="40"/>
        <v>0</v>
      </c>
      <c r="AG74" s="107">
        <f t="shared" si="40"/>
        <v>0</v>
      </c>
      <c r="AH74" s="107">
        <f t="shared" si="40"/>
        <v>0</v>
      </c>
      <c r="AI74" s="107">
        <f t="shared" si="40"/>
        <v>0</v>
      </c>
      <c r="AJ74" s="107">
        <f t="shared" si="40"/>
        <v>0</v>
      </c>
      <c r="AK74" s="107">
        <f t="shared" si="40"/>
        <v>0</v>
      </c>
      <c r="AL74" s="107">
        <f t="shared" si="40"/>
        <v>0</v>
      </c>
      <c r="AM74" s="107">
        <f t="shared" si="40"/>
        <v>0</v>
      </c>
      <c r="AN74" s="107">
        <f t="shared" si="40"/>
        <v>0</v>
      </c>
      <c r="AO74" s="107">
        <f t="shared" si="40"/>
        <v>0</v>
      </c>
      <c r="AP74" s="107">
        <f t="shared" si="40"/>
        <v>0</v>
      </c>
      <c r="AQ74" s="107">
        <f t="shared" si="40"/>
        <v>0</v>
      </c>
      <c r="AR74" s="110"/>
    </row>
    <row r="75" spans="1:44">
      <c r="A75" s="108"/>
      <c r="B75" s="106" t="s">
        <v>63</v>
      </c>
      <c r="C75" s="98"/>
      <c r="D75" s="79">
        <f t="shared" ref="D75:AQ75" si="41">+D52</f>
        <v>-564731.87917191512</v>
      </c>
      <c r="E75" s="79">
        <f t="shared" si="41"/>
        <v>-548317.81183374359</v>
      </c>
      <c r="F75" s="79">
        <f t="shared" si="41"/>
        <v>-530098.19708837324</v>
      </c>
      <c r="G75" s="79">
        <f t="shared" si="41"/>
        <v>-509874.42472101212</v>
      </c>
      <c r="H75" s="79">
        <f t="shared" si="41"/>
        <v>-487426.03739324131</v>
      </c>
      <c r="I75" s="79">
        <f t="shared" si="41"/>
        <v>-462508.32745941571</v>
      </c>
      <c r="J75" s="79">
        <f t="shared" si="41"/>
        <v>-434849.6694328693</v>
      </c>
      <c r="K75" s="79">
        <f t="shared" si="41"/>
        <v>-404148.55902340281</v>
      </c>
      <c r="L75" s="79">
        <f t="shared" si="41"/>
        <v>-370070.32646889496</v>
      </c>
      <c r="M75" s="79">
        <f t="shared" si="41"/>
        <v>-332243.48833339126</v>
      </c>
      <c r="N75" s="79">
        <f t="shared" si="41"/>
        <v>-290255.69800298219</v>
      </c>
      <c r="O75" s="79">
        <f t="shared" si="41"/>
        <v>-243649.25073622807</v>
      </c>
      <c r="P75" s="79">
        <f t="shared" si="41"/>
        <v>-191916.09427013103</v>
      </c>
      <c r="Q75" s="79">
        <f t="shared" si="41"/>
        <v>-134492.29059276331</v>
      </c>
      <c r="R75" s="79">
        <f t="shared" si="41"/>
        <v>-70751.868510885135</v>
      </c>
      <c r="S75" s="79">
        <f t="shared" si="41"/>
        <v>0</v>
      </c>
      <c r="T75" s="79">
        <f t="shared" si="41"/>
        <v>0</v>
      </c>
      <c r="U75" s="79">
        <f t="shared" si="41"/>
        <v>0</v>
      </c>
      <c r="V75" s="79">
        <f t="shared" si="41"/>
        <v>0</v>
      </c>
      <c r="W75" s="79">
        <f t="shared" si="41"/>
        <v>0</v>
      </c>
      <c r="X75" s="79">
        <f t="shared" si="41"/>
        <v>0</v>
      </c>
      <c r="Y75" s="79">
        <f t="shared" si="41"/>
        <v>0</v>
      </c>
      <c r="Z75" s="79">
        <f t="shared" si="41"/>
        <v>0</v>
      </c>
      <c r="AA75" s="79">
        <f t="shared" si="41"/>
        <v>0</v>
      </c>
      <c r="AB75" s="79">
        <f t="shared" si="41"/>
        <v>0</v>
      </c>
      <c r="AC75" s="79">
        <f t="shared" si="41"/>
        <v>0</v>
      </c>
      <c r="AD75" s="79">
        <f t="shared" si="41"/>
        <v>0</v>
      </c>
      <c r="AE75" s="79">
        <f t="shared" si="41"/>
        <v>0</v>
      </c>
      <c r="AF75" s="79">
        <f t="shared" si="41"/>
        <v>0</v>
      </c>
      <c r="AG75" s="79">
        <f t="shared" si="41"/>
        <v>0</v>
      </c>
      <c r="AH75" s="79">
        <f t="shared" si="41"/>
        <v>0</v>
      </c>
      <c r="AI75" s="79">
        <f t="shared" si="41"/>
        <v>0</v>
      </c>
      <c r="AJ75" s="79">
        <f t="shared" si="41"/>
        <v>0</v>
      </c>
      <c r="AK75" s="79">
        <f t="shared" si="41"/>
        <v>0</v>
      </c>
      <c r="AL75" s="79">
        <f t="shared" si="41"/>
        <v>0</v>
      </c>
      <c r="AM75" s="79">
        <f t="shared" si="41"/>
        <v>0</v>
      </c>
      <c r="AN75" s="79">
        <f t="shared" si="41"/>
        <v>0</v>
      </c>
      <c r="AO75" s="79">
        <f t="shared" si="41"/>
        <v>0</v>
      </c>
      <c r="AP75" s="79">
        <f t="shared" si="41"/>
        <v>0</v>
      </c>
      <c r="AQ75" s="79">
        <f t="shared" si="41"/>
        <v>0</v>
      </c>
      <c r="AR75" s="111"/>
    </row>
    <row r="76" spans="1:44">
      <c r="A76" s="108"/>
      <c r="B76" s="106" t="s">
        <v>64</v>
      </c>
      <c r="C76" s="98"/>
      <c r="D76" s="79">
        <f t="shared" ref="D76:AQ76" si="42">+D71-D74+D75</f>
        <v>-4039549.4292421266</v>
      </c>
      <c r="E76" s="79">
        <f t="shared" si="42"/>
        <v>-7084113.5228165761</v>
      </c>
      <c r="F76" s="79">
        <f t="shared" si="42"/>
        <v>-3900549.4054013877</v>
      </c>
      <c r="G76" s="79">
        <f t="shared" si="42"/>
        <v>-1992598.4034307145</v>
      </c>
      <c r="H76" s="79">
        <f t="shared" si="42"/>
        <v>-1999431.3752267407</v>
      </c>
      <c r="I76" s="79">
        <f t="shared" si="42"/>
        <v>-564194.11267395644</v>
      </c>
      <c r="J76" s="79">
        <f t="shared" si="42"/>
        <v>874795.302888092</v>
      </c>
      <c r="K76" s="79">
        <f t="shared" si="42"/>
        <v>879249.43881421909</v>
      </c>
      <c r="L76" s="79">
        <f t="shared" si="42"/>
        <v>888034.77560492232</v>
      </c>
      <c r="M76" s="79">
        <f t="shared" si="42"/>
        <v>901495.33347030659</v>
      </c>
      <c r="N76" s="79">
        <f t="shared" si="42"/>
        <v>828441.70075880084</v>
      </c>
      <c r="O76" s="79">
        <f t="shared" si="42"/>
        <v>852455.508377839</v>
      </c>
      <c r="P76" s="79">
        <f t="shared" si="42"/>
        <v>882444.39918987034</v>
      </c>
      <c r="Q76" s="79">
        <f t="shared" si="42"/>
        <v>918947.5467573565</v>
      </c>
      <c r="R76" s="79">
        <f t="shared" si="42"/>
        <v>962566.78379359527</v>
      </c>
      <c r="S76" s="79">
        <f t="shared" si="42"/>
        <v>-38856.288212580257</v>
      </c>
      <c r="T76" s="79">
        <f t="shared" si="42"/>
        <v>-29698.541010679677</v>
      </c>
      <c r="U76" s="79">
        <f t="shared" si="42"/>
        <v>-20569.127298389561</v>
      </c>
      <c r="V76" s="79">
        <f t="shared" si="42"/>
        <v>-11469.104354634648</v>
      </c>
      <c r="W76" s="79">
        <f t="shared" si="42"/>
        <v>-2399.55909758911</v>
      </c>
      <c r="X76" s="79">
        <f t="shared" si="42"/>
        <v>-84936.608824506868</v>
      </c>
      <c r="Y76" s="79">
        <f t="shared" si="42"/>
        <v>-75931.401968898019</v>
      </c>
      <c r="Z76" s="79">
        <f t="shared" si="42"/>
        <v>-66960.118875433574</v>
      </c>
      <c r="AA76" s="79">
        <f t="shared" si="42"/>
        <v>-58023.972592987702</v>
      </c>
      <c r="AB76" s="79">
        <f t="shared" si="42"/>
        <v>783375.79031378264</v>
      </c>
      <c r="AC76" s="79">
        <f t="shared" si="42"/>
        <v>-196872.71933576756</v>
      </c>
      <c r="AD76" s="79">
        <f t="shared" si="42"/>
        <v>0</v>
      </c>
      <c r="AE76" s="79">
        <f t="shared" si="42"/>
        <v>0</v>
      </c>
      <c r="AF76" s="79">
        <f t="shared" si="42"/>
        <v>0</v>
      </c>
      <c r="AG76" s="79">
        <f t="shared" si="42"/>
        <v>0</v>
      </c>
      <c r="AH76" s="79">
        <f t="shared" si="42"/>
        <v>0</v>
      </c>
      <c r="AI76" s="79">
        <f t="shared" si="42"/>
        <v>0</v>
      </c>
      <c r="AJ76" s="79">
        <f t="shared" si="42"/>
        <v>0</v>
      </c>
      <c r="AK76" s="79">
        <f t="shared" si="42"/>
        <v>0</v>
      </c>
      <c r="AL76" s="79">
        <f t="shared" si="42"/>
        <v>0</v>
      </c>
      <c r="AM76" s="79">
        <f t="shared" si="42"/>
        <v>0</v>
      </c>
      <c r="AN76" s="79">
        <f t="shared" si="42"/>
        <v>0</v>
      </c>
      <c r="AO76" s="79">
        <f t="shared" si="42"/>
        <v>0</v>
      </c>
      <c r="AP76" s="79">
        <f t="shared" si="42"/>
        <v>0</v>
      </c>
      <c r="AQ76" s="79">
        <f t="shared" si="42"/>
        <v>0</v>
      </c>
      <c r="AR76" s="111"/>
    </row>
    <row r="77" spans="1:44">
      <c r="A77" s="108"/>
      <c r="B77" s="106" t="s">
        <v>65</v>
      </c>
      <c r="C77" s="109">
        <f>+H8</f>
        <v>0.09</v>
      </c>
      <c r="D77" s="79">
        <f>-$C$77*D76</f>
        <v>363559.4486317914</v>
      </c>
      <c r="E77" s="79">
        <f t="shared" ref="E77:AQ77" si="43">-$C$77*E76</f>
        <v>637570.21705349186</v>
      </c>
      <c r="F77" s="79">
        <f t="shared" si="43"/>
        <v>351049.44648612489</v>
      </c>
      <c r="G77" s="79">
        <f t="shared" si="43"/>
        <v>179333.85630876431</v>
      </c>
      <c r="H77" s="79">
        <f t="shared" si="43"/>
        <v>179948.82377040666</v>
      </c>
      <c r="I77" s="79">
        <f t="shared" si="43"/>
        <v>50777.470140656078</v>
      </c>
      <c r="J77" s="79">
        <f t="shared" si="43"/>
        <v>-78731.577259928279</v>
      </c>
      <c r="K77" s="79">
        <f t="shared" si="43"/>
        <v>-79132.44949327971</v>
      </c>
      <c r="L77" s="79">
        <f t="shared" si="43"/>
        <v>-79923.129804443</v>
      </c>
      <c r="M77" s="79">
        <f t="shared" si="43"/>
        <v>-81134.580012327584</v>
      </c>
      <c r="N77" s="79">
        <f t="shared" si="43"/>
        <v>-74559.753068292077</v>
      </c>
      <c r="O77" s="79">
        <f t="shared" si="43"/>
        <v>-76720.995754005504</v>
      </c>
      <c r="P77" s="79">
        <f t="shared" si="43"/>
        <v>-79419.995927088326</v>
      </c>
      <c r="Q77" s="79">
        <f t="shared" si="43"/>
        <v>-82705.279208162086</v>
      </c>
      <c r="R77" s="79">
        <f t="shared" si="43"/>
        <v>-86631.010541423573</v>
      </c>
      <c r="S77" s="79">
        <f t="shared" si="43"/>
        <v>3497.0659391322229</v>
      </c>
      <c r="T77" s="79">
        <f t="shared" si="43"/>
        <v>2672.8686909611711</v>
      </c>
      <c r="U77" s="79">
        <f t="shared" si="43"/>
        <v>1851.2214568550605</v>
      </c>
      <c r="V77" s="79">
        <f t="shared" si="43"/>
        <v>1032.2193919171184</v>
      </c>
      <c r="W77" s="79">
        <f t="shared" si="43"/>
        <v>215.96031878301989</v>
      </c>
      <c r="X77" s="79">
        <f t="shared" si="43"/>
        <v>7644.294794205618</v>
      </c>
      <c r="Y77" s="79">
        <f t="shared" si="43"/>
        <v>6833.8261772008218</v>
      </c>
      <c r="Z77" s="79">
        <f t="shared" si="43"/>
        <v>6026.4106987890218</v>
      </c>
      <c r="AA77" s="79">
        <f t="shared" si="43"/>
        <v>5222.1575333688934</v>
      </c>
      <c r="AB77" s="79">
        <f t="shared" si="43"/>
        <v>-70503.821128240437</v>
      </c>
      <c r="AC77" s="79">
        <f t="shared" si="43"/>
        <v>17718.54474021908</v>
      </c>
      <c r="AD77" s="79">
        <f t="shared" si="43"/>
        <v>0</v>
      </c>
      <c r="AE77" s="79">
        <f t="shared" si="43"/>
        <v>0</v>
      </c>
      <c r="AF77" s="79">
        <f t="shared" si="43"/>
        <v>0</v>
      </c>
      <c r="AG77" s="79">
        <f t="shared" si="43"/>
        <v>0</v>
      </c>
      <c r="AH77" s="79">
        <f t="shared" si="43"/>
        <v>0</v>
      </c>
      <c r="AI77" s="79">
        <f t="shared" si="43"/>
        <v>0</v>
      </c>
      <c r="AJ77" s="79">
        <f t="shared" si="43"/>
        <v>0</v>
      </c>
      <c r="AK77" s="79">
        <f t="shared" si="43"/>
        <v>0</v>
      </c>
      <c r="AL77" s="79">
        <f t="shared" si="43"/>
        <v>0</v>
      </c>
      <c r="AM77" s="79">
        <f t="shared" si="43"/>
        <v>0</v>
      </c>
      <c r="AN77" s="79">
        <f t="shared" si="43"/>
        <v>0</v>
      </c>
      <c r="AO77" s="79">
        <f t="shared" si="43"/>
        <v>0</v>
      </c>
      <c r="AP77" s="79">
        <f t="shared" si="43"/>
        <v>0</v>
      </c>
      <c r="AQ77" s="79">
        <f t="shared" si="43"/>
        <v>0</v>
      </c>
      <c r="AR77" s="57"/>
    </row>
    <row r="78" spans="1:44">
      <c r="A78" s="108"/>
      <c r="B78" s="106"/>
      <c r="C78" s="98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102"/>
    </row>
    <row r="79" spans="1:44">
      <c r="A79" s="108"/>
      <c r="B79" s="97" t="s">
        <v>66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57"/>
    </row>
    <row r="80" spans="1:44">
      <c r="A80" s="108"/>
      <c r="B80" s="106" t="s">
        <v>59</v>
      </c>
      <c r="C80" s="98"/>
      <c r="D80" s="107">
        <f t="shared" ref="D80:AB80" si="44">(D48+D41+D55+D40)</f>
        <v>1520182.4499297882</v>
      </c>
      <c r="E80" s="107">
        <f t="shared" si="44"/>
        <v>1456204.2890171681</v>
      </c>
      <c r="F80" s="107">
        <f t="shared" si="44"/>
        <v>1424748.7916869854</v>
      </c>
      <c r="G80" s="107">
        <f t="shared" si="44"/>
        <v>1394396.0212902976</v>
      </c>
      <c r="H80" s="107">
        <f t="shared" si="44"/>
        <v>1365114.6621665007</v>
      </c>
      <c r="I80" s="107">
        <f t="shared" si="44"/>
        <v>1336874.2147854592</v>
      </c>
      <c r="J80" s="107">
        <f t="shared" si="44"/>
        <v>1309644.9723209613</v>
      </c>
      <c r="K80" s="107">
        <f t="shared" si="44"/>
        <v>1283397.997837622</v>
      </c>
      <c r="L80" s="107">
        <f t="shared" si="44"/>
        <v>1258105.1020738173</v>
      </c>
      <c r="M80" s="107">
        <f t="shared" si="44"/>
        <v>1233738.8218036979</v>
      </c>
      <c r="N80" s="107">
        <f t="shared" si="44"/>
        <v>1118697.398761783</v>
      </c>
      <c r="O80" s="107">
        <f t="shared" si="44"/>
        <v>1096104.7591140671</v>
      </c>
      <c r="P80" s="107">
        <f t="shared" si="44"/>
        <v>1074360.4934600014</v>
      </c>
      <c r="Q80" s="107">
        <f t="shared" si="44"/>
        <v>1053439.8373501198</v>
      </c>
      <c r="R80" s="107">
        <f t="shared" si="44"/>
        <v>1033318.6523044804</v>
      </c>
      <c r="S80" s="107">
        <f t="shared" si="44"/>
        <v>-38856.288212580257</v>
      </c>
      <c r="T80" s="107">
        <f t="shared" si="44"/>
        <v>-29698.541010679677</v>
      </c>
      <c r="U80" s="107">
        <f t="shared" si="44"/>
        <v>-20569.127298389561</v>
      </c>
      <c r="V80" s="107">
        <f t="shared" si="44"/>
        <v>-11469.104354634648</v>
      </c>
      <c r="W80" s="107">
        <f t="shared" si="44"/>
        <v>-2399.55909758911</v>
      </c>
      <c r="X80" s="107">
        <f t="shared" si="44"/>
        <v>-84936.608824506868</v>
      </c>
      <c r="Y80" s="107">
        <f t="shared" si="44"/>
        <v>-75931.401968898019</v>
      </c>
      <c r="Z80" s="107">
        <f t="shared" si="44"/>
        <v>-66960.118875433574</v>
      </c>
      <c r="AA80" s="107">
        <f t="shared" si="44"/>
        <v>-58023.972592987702</v>
      </c>
      <c r="AB80" s="107">
        <f t="shared" si="44"/>
        <v>783375.79031378264</v>
      </c>
      <c r="AC80" s="107">
        <f t="shared" ref="AC80:AQ80" si="45">(AC48+AC41+AC55)</f>
        <v>-196872.71933576756</v>
      </c>
      <c r="AD80" s="107">
        <f t="shared" si="45"/>
        <v>0</v>
      </c>
      <c r="AE80" s="107">
        <f t="shared" si="45"/>
        <v>0</v>
      </c>
      <c r="AF80" s="107">
        <f t="shared" si="45"/>
        <v>0</v>
      </c>
      <c r="AG80" s="107">
        <f t="shared" si="45"/>
        <v>0</v>
      </c>
      <c r="AH80" s="107">
        <f t="shared" si="45"/>
        <v>0</v>
      </c>
      <c r="AI80" s="107">
        <f t="shared" si="45"/>
        <v>0</v>
      </c>
      <c r="AJ80" s="107">
        <f t="shared" si="45"/>
        <v>0</v>
      </c>
      <c r="AK80" s="107">
        <f t="shared" si="45"/>
        <v>0</v>
      </c>
      <c r="AL80" s="107">
        <f t="shared" si="45"/>
        <v>0</v>
      </c>
      <c r="AM80" s="107">
        <f t="shared" si="45"/>
        <v>0</v>
      </c>
      <c r="AN80" s="107">
        <f t="shared" si="45"/>
        <v>0</v>
      </c>
      <c r="AO80" s="107">
        <f t="shared" si="45"/>
        <v>0</v>
      </c>
      <c r="AP80" s="107">
        <f t="shared" si="45"/>
        <v>0</v>
      </c>
      <c r="AQ80" s="107">
        <f t="shared" si="45"/>
        <v>0</v>
      </c>
      <c r="AR80" s="102"/>
    </row>
    <row r="81" spans="1:44">
      <c r="A81" s="108"/>
      <c r="B81" s="106" t="s">
        <v>67</v>
      </c>
      <c r="C81" s="98"/>
      <c r="D81" s="109">
        <f t="shared" ref="D81:AQ81" si="46">VLOOKUP($H$12,$C$134:$AQ$141,D133+1)</f>
        <v>0.2</v>
      </c>
      <c r="E81" s="109">
        <f t="shared" si="46"/>
        <v>0.32</v>
      </c>
      <c r="F81" s="109">
        <f t="shared" si="46"/>
        <v>0.192</v>
      </c>
      <c r="G81" s="109">
        <f t="shared" si="46"/>
        <v>0.1152</v>
      </c>
      <c r="H81" s="109">
        <f t="shared" si="46"/>
        <v>0.1152</v>
      </c>
      <c r="I81" s="109">
        <f t="shared" si="46"/>
        <v>5.7599999999999998E-2</v>
      </c>
      <c r="J81" s="109">
        <f t="shared" si="46"/>
        <v>0</v>
      </c>
      <c r="K81" s="109">
        <f t="shared" si="46"/>
        <v>0</v>
      </c>
      <c r="L81" s="109">
        <f t="shared" si="46"/>
        <v>0</v>
      </c>
      <c r="M81" s="109">
        <f t="shared" si="46"/>
        <v>0</v>
      </c>
      <c r="N81" s="109">
        <f t="shared" si="46"/>
        <v>0</v>
      </c>
      <c r="O81" s="109">
        <f t="shared" si="46"/>
        <v>0</v>
      </c>
      <c r="P81" s="109">
        <f t="shared" si="46"/>
        <v>0</v>
      </c>
      <c r="Q81" s="109">
        <f t="shared" si="46"/>
        <v>0</v>
      </c>
      <c r="R81" s="109">
        <f t="shared" si="46"/>
        <v>0</v>
      </c>
      <c r="S81" s="109">
        <f t="shared" si="46"/>
        <v>0</v>
      </c>
      <c r="T81" s="109">
        <f t="shared" si="46"/>
        <v>0</v>
      </c>
      <c r="U81" s="109">
        <f t="shared" si="46"/>
        <v>0</v>
      </c>
      <c r="V81" s="109">
        <f t="shared" si="46"/>
        <v>0</v>
      </c>
      <c r="W81" s="109">
        <f t="shared" si="46"/>
        <v>0</v>
      </c>
      <c r="X81" s="109">
        <f t="shared" si="46"/>
        <v>0</v>
      </c>
      <c r="Y81" s="109">
        <f t="shared" si="46"/>
        <v>0</v>
      </c>
      <c r="Z81" s="109">
        <f t="shared" si="46"/>
        <v>0</v>
      </c>
      <c r="AA81" s="109">
        <f t="shared" si="46"/>
        <v>0</v>
      </c>
      <c r="AB81" s="109">
        <f t="shared" si="46"/>
        <v>0</v>
      </c>
      <c r="AC81" s="109">
        <f t="shared" si="46"/>
        <v>0</v>
      </c>
      <c r="AD81" s="109">
        <f t="shared" si="46"/>
        <v>0</v>
      </c>
      <c r="AE81" s="109">
        <f t="shared" si="46"/>
        <v>0</v>
      </c>
      <c r="AF81" s="109">
        <f t="shared" si="46"/>
        <v>0</v>
      </c>
      <c r="AG81" s="109">
        <f t="shared" si="46"/>
        <v>0</v>
      </c>
      <c r="AH81" s="109">
        <f t="shared" si="46"/>
        <v>0</v>
      </c>
      <c r="AI81" s="109">
        <f t="shared" si="46"/>
        <v>0</v>
      </c>
      <c r="AJ81" s="109">
        <f t="shared" si="46"/>
        <v>0</v>
      </c>
      <c r="AK81" s="109">
        <f t="shared" si="46"/>
        <v>0</v>
      </c>
      <c r="AL81" s="109">
        <f t="shared" si="46"/>
        <v>0</v>
      </c>
      <c r="AM81" s="109">
        <f t="shared" si="46"/>
        <v>0</v>
      </c>
      <c r="AN81" s="109">
        <f t="shared" si="46"/>
        <v>0</v>
      </c>
      <c r="AO81" s="109">
        <f t="shared" si="46"/>
        <v>0</v>
      </c>
      <c r="AP81" s="109">
        <f t="shared" si="46"/>
        <v>0</v>
      </c>
      <c r="AQ81" s="109">
        <f t="shared" si="46"/>
        <v>0</v>
      </c>
      <c r="AR81" s="108"/>
    </row>
    <row r="82" spans="1:44">
      <c r="A82" s="108"/>
      <c r="B82" s="106" t="s">
        <v>68</v>
      </c>
      <c r="C82" s="98">
        <f>C8*C7*10^6*(1-H11)</f>
        <v>21228750</v>
      </c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108"/>
    </row>
    <row r="83" spans="1:44">
      <c r="A83" s="108"/>
      <c r="B83" s="106" t="s">
        <v>69</v>
      </c>
      <c r="C83" s="98"/>
      <c r="D83" s="79">
        <f t="shared" ref="D83:AQ83" si="47">+$C82*D81</f>
        <v>4245750</v>
      </c>
      <c r="E83" s="79">
        <f>+$C82*E81</f>
        <v>6793200</v>
      </c>
      <c r="F83" s="79">
        <f>+$C82*F81</f>
        <v>4075920</v>
      </c>
      <c r="G83" s="79">
        <f>+$C82*G81</f>
        <v>2445552</v>
      </c>
      <c r="H83" s="79">
        <f>+$C82*H81</f>
        <v>2445552</v>
      </c>
      <c r="I83" s="79">
        <f t="shared" si="47"/>
        <v>1222776</v>
      </c>
      <c r="J83" s="79">
        <f t="shared" si="47"/>
        <v>0</v>
      </c>
      <c r="K83" s="79">
        <f t="shared" si="47"/>
        <v>0</v>
      </c>
      <c r="L83" s="79">
        <f t="shared" si="47"/>
        <v>0</v>
      </c>
      <c r="M83" s="79">
        <f t="shared" si="47"/>
        <v>0</v>
      </c>
      <c r="N83" s="79">
        <f t="shared" si="47"/>
        <v>0</v>
      </c>
      <c r="O83" s="79">
        <f t="shared" si="47"/>
        <v>0</v>
      </c>
      <c r="P83" s="79">
        <f t="shared" si="47"/>
        <v>0</v>
      </c>
      <c r="Q83" s="79">
        <f t="shared" si="47"/>
        <v>0</v>
      </c>
      <c r="R83" s="79">
        <f t="shared" si="47"/>
        <v>0</v>
      </c>
      <c r="S83" s="79">
        <f t="shared" si="47"/>
        <v>0</v>
      </c>
      <c r="T83" s="79">
        <f t="shared" si="47"/>
        <v>0</v>
      </c>
      <c r="U83" s="79">
        <f t="shared" si="47"/>
        <v>0</v>
      </c>
      <c r="V83" s="79">
        <f t="shared" si="47"/>
        <v>0</v>
      </c>
      <c r="W83" s="79">
        <f t="shared" si="47"/>
        <v>0</v>
      </c>
      <c r="X83" s="79">
        <f t="shared" si="47"/>
        <v>0</v>
      </c>
      <c r="Y83" s="79">
        <f t="shared" si="47"/>
        <v>0</v>
      </c>
      <c r="Z83" s="79">
        <f t="shared" si="47"/>
        <v>0</v>
      </c>
      <c r="AA83" s="79">
        <f t="shared" si="47"/>
        <v>0</v>
      </c>
      <c r="AB83" s="79">
        <f t="shared" si="47"/>
        <v>0</v>
      </c>
      <c r="AC83" s="79">
        <f t="shared" si="47"/>
        <v>0</v>
      </c>
      <c r="AD83" s="79">
        <f t="shared" si="47"/>
        <v>0</v>
      </c>
      <c r="AE83" s="79">
        <f t="shared" si="47"/>
        <v>0</v>
      </c>
      <c r="AF83" s="79">
        <f t="shared" si="47"/>
        <v>0</v>
      </c>
      <c r="AG83" s="79">
        <f t="shared" si="47"/>
        <v>0</v>
      </c>
      <c r="AH83" s="79">
        <f t="shared" si="47"/>
        <v>0</v>
      </c>
      <c r="AI83" s="79">
        <f t="shared" si="47"/>
        <v>0</v>
      </c>
      <c r="AJ83" s="79">
        <f t="shared" si="47"/>
        <v>0</v>
      </c>
      <c r="AK83" s="79">
        <f t="shared" si="47"/>
        <v>0</v>
      </c>
      <c r="AL83" s="79">
        <f t="shared" si="47"/>
        <v>0</v>
      </c>
      <c r="AM83" s="79">
        <f t="shared" si="47"/>
        <v>0</v>
      </c>
      <c r="AN83" s="79">
        <f t="shared" si="47"/>
        <v>0</v>
      </c>
      <c r="AO83" s="79">
        <f t="shared" si="47"/>
        <v>0</v>
      </c>
      <c r="AP83" s="79">
        <f t="shared" si="47"/>
        <v>0</v>
      </c>
      <c r="AQ83" s="79">
        <f t="shared" si="47"/>
        <v>0</v>
      </c>
      <c r="AR83" s="102"/>
    </row>
    <row r="84" spans="1:44">
      <c r="A84" s="108"/>
      <c r="B84" s="106" t="s">
        <v>63</v>
      </c>
      <c r="C84" s="98"/>
      <c r="D84" s="79">
        <f t="shared" ref="D84:AQ84" si="48">+D52</f>
        <v>-564731.87917191512</v>
      </c>
      <c r="E84" s="79">
        <f t="shared" si="48"/>
        <v>-548317.81183374359</v>
      </c>
      <c r="F84" s="79">
        <f t="shared" si="48"/>
        <v>-530098.19708837324</v>
      </c>
      <c r="G84" s="79">
        <f t="shared" si="48"/>
        <v>-509874.42472101212</v>
      </c>
      <c r="H84" s="79">
        <f t="shared" si="48"/>
        <v>-487426.03739324131</v>
      </c>
      <c r="I84" s="79">
        <f t="shared" si="48"/>
        <v>-462508.32745941571</v>
      </c>
      <c r="J84" s="79">
        <f t="shared" si="48"/>
        <v>-434849.6694328693</v>
      </c>
      <c r="K84" s="79">
        <f t="shared" si="48"/>
        <v>-404148.55902340281</v>
      </c>
      <c r="L84" s="79">
        <f t="shared" si="48"/>
        <v>-370070.32646889496</v>
      </c>
      <c r="M84" s="79">
        <f t="shared" si="48"/>
        <v>-332243.48833339126</v>
      </c>
      <c r="N84" s="79">
        <f t="shared" si="48"/>
        <v>-290255.69800298219</v>
      </c>
      <c r="O84" s="79">
        <f t="shared" si="48"/>
        <v>-243649.25073622807</v>
      </c>
      <c r="P84" s="79">
        <f t="shared" si="48"/>
        <v>-191916.09427013103</v>
      </c>
      <c r="Q84" s="79">
        <f t="shared" si="48"/>
        <v>-134492.29059276331</v>
      </c>
      <c r="R84" s="79">
        <f t="shared" si="48"/>
        <v>-70751.868510885135</v>
      </c>
      <c r="S84" s="79">
        <f t="shared" si="48"/>
        <v>0</v>
      </c>
      <c r="T84" s="79">
        <f t="shared" si="48"/>
        <v>0</v>
      </c>
      <c r="U84" s="79">
        <f t="shared" si="48"/>
        <v>0</v>
      </c>
      <c r="V84" s="79">
        <f t="shared" si="48"/>
        <v>0</v>
      </c>
      <c r="W84" s="79">
        <f t="shared" si="48"/>
        <v>0</v>
      </c>
      <c r="X84" s="79">
        <f t="shared" si="48"/>
        <v>0</v>
      </c>
      <c r="Y84" s="79">
        <f t="shared" si="48"/>
        <v>0</v>
      </c>
      <c r="Z84" s="79">
        <f t="shared" si="48"/>
        <v>0</v>
      </c>
      <c r="AA84" s="79">
        <f t="shared" si="48"/>
        <v>0</v>
      </c>
      <c r="AB84" s="79">
        <f t="shared" si="48"/>
        <v>0</v>
      </c>
      <c r="AC84" s="79">
        <f t="shared" si="48"/>
        <v>0</v>
      </c>
      <c r="AD84" s="79">
        <f t="shared" si="48"/>
        <v>0</v>
      </c>
      <c r="AE84" s="79">
        <f t="shared" si="48"/>
        <v>0</v>
      </c>
      <c r="AF84" s="79">
        <f t="shared" si="48"/>
        <v>0</v>
      </c>
      <c r="AG84" s="79">
        <f t="shared" si="48"/>
        <v>0</v>
      </c>
      <c r="AH84" s="79">
        <f t="shared" si="48"/>
        <v>0</v>
      </c>
      <c r="AI84" s="79">
        <f t="shared" si="48"/>
        <v>0</v>
      </c>
      <c r="AJ84" s="79">
        <f t="shared" si="48"/>
        <v>0</v>
      </c>
      <c r="AK84" s="79">
        <f t="shared" si="48"/>
        <v>0</v>
      </c>
      <c r="AL84" s="79">
        <f t="shared" si="48"/>
        <v>0</v>
      </c>
      <c r="AM84" s="79">
        <f t="shared" si="48"/>
        <v>0</v>
      </c>
      <c r="AN84" s="79">
        <f t="shared" si="48"/>
        <v>0</v>
      </c>
      <c r="AO84" s="79">
        <f t="shared" si="48"/>
        <v>0</v>
      </c>
      <c r="AP84" s="79">
        <f t="shared" si="48"/>
        <v>0</v>
      </c>
      <c r="AQ84" s="79">
        <f t="shared" si="48"/>
        <v>0</v>
      </c>
      <c r="AR84" s="102"/>
    </row>
    <row r="85" spans="1:44">
      <c r="A85" s="108"/>
      <c r="B85" s="106" t="s">
        <v>70</v>
      </c>
      <c r="C85" s="98"/>
      <c r="D85" s="79">
        <f t="shared" ref="D85:AQ85" si="49">+D77</f>
        <v>363559.4486317914</v>
      </c>
      <c r="E85" s="79">
        <f t="shared" si="49"/>
        <v>637570.21705349186</v>
      </c>
      <c r="F85" s="79">
        <f t="shared" si="49"/>
        <v>351049.44648612489</v>
      </c>
      <c r="G85" s="79">
        <f t="shared" si="49"/>
        <v>179333.85630876431</v>
      </c>
      <c r="H85" s="79">
        <f t="shared" si="49"/>
        <v>179948.82377040666</v>
      </c>
      <c r="I85" s="79">
        <f t="shared" si="49"/>
        <v>50777.470140656078</v>
      </c>
      <c r="J85" s="79">
        <f t="shared" si="49"/>
        <v>-78731.577259928279</v>
      </c>
      <c r="K85" s="79">
        <f t="shared" si="49"/>
        <v>-79132.44949327971</v>
      </c>
      <c r="L85" s="79">
        <f t="shared" si="49"/>
        <v>-79923.129804443</v>
      </c>
      <c r="M85" s="79">
        <f t="shared" si="49"/>
        <v>-81134.580012327584</v>
      </c>
      <c r="N85" s="79">
        <f t="shared" si="49"/>
        <v>-74559.753068292077</v>
      </c>
      <c r="O85" s="79">
        <f t="shared" si="49"/>
        <v>-76720.995754005504</v>
      </c>
      <c r="P85" s="79">
        <f t="shared" si="49"/>
        <v>-79419.995927088326</v>
      </c>
      <c r="Q85" s="79">
        <f t="shared" si="49"/>
        <v>-82705.279208162086</v>
      </c>
      <c r="R85" s="79">
        <f t="shared" si="49"/>
        <v>-86631.010541423573</v>
      </c>
      <c r="S85" s="79">
        <f t="shared" si="49"/>
        <v>3497.0659391322229</v>
      </c>
      <c r="T85" s="79">
        <f t="shared" si="49"/>
        <v>2672.8686909611711</v>
      </c>
      <c r="U85" s="79">
        <f t="shared" si="49"/>
        <v>1851.2214568550605</v>
      </c>
      <c r="V85" s="79">
        <f t="shared" si="49"/>
        <v>1032.2193919171184</v>
      </c>
      <c r="W85" s="79">
        <f t="shared" si="49"/>
        <v>215.96031878301989</v>
      </c>
      <c r="X85" s="79">
        <f t="shared" si="49"/>
        <v>7644.294794205618</v>
      </c>
      <c r="Y85" s="79">
        <f t="shared" si="49"/>
        <v>6833.8261772008218</v>
      </c>
      <c r="Z85" s="79">
        <f t="shared" si="49"/>
        <v>6026.4106987890218</v>
      </c>
      <c r="AA85" s="79">
        <f t="shared" si="49"/>
        <v>5222.1575333688934</v>
      </c>
      <c r="AB85" s="79">
        <f t="shared" si="49"/>
        <v>-70503.821128240437</v>
      </c>
      <c r="AC85" s="79">
        <f t="shared" si="49"/>
        <v>17718.54474021908</v>
      </c>
      <c r="AD85" s="79">
        <f t="shared" si="49"/>
        <v>0</v>
      </c>
      <c r="AE85" s="79">
        <f t="shared" si="49"/>
        <v>0</v>
      </c>
      <c r="AF85" s="79">
        <f t="shared" si="49"/>
        <v>0</v>
      </c>
      <c r="AG85" s="79">
        <f t="shared" si="49"/>
        <v>0</v>
      </c>
      <c r="AH85" s="79">
        <f t="shared" si="49"/>
        <v>0</v>
      </c>
      <c r="AI85" s="79">
        <f t="shared" si="49"/>
        <v>0</v>
      </c>
      <c r="AJ85" s="79">
        <f t="shared" si="49"/>
        <v>0</v>
      </c>
      <c r="AK85" s="79">
        <f t="shared" si="49"/>
        <v>0</v>
      </c>
      <c r="AL85" s="79">
        <f t="shared" si="49"/>
        <v>0</v>
      </c>
      <c r="AM85" s="79">
        <f t="shared" si="49"/>
        <v>0</v>
      </c>
      <c r="AN85" s="79">
        <f t="shared" si="49"/>
        <v>0</v>
      </c>
      <c r="AO85" s="79">
        <f t="shared" si="49"/>
        <v>0</v>
      </c>
      <c r="AP85" s="79">
        <f t="shared" si="49"/>
        <v>0</v>
      </c>
      <c r="AQ85" s="79">
        <f t="shared" si="49"/>
        <v>0</v>
      </c>
      <c r="AR85" s="102"/>
    </row>
    <row r="86" spans="1:44">
      <c r="A86" s="108"/>
      <c r="B86" s="106" t="s">
        <v>64</v>
      </c>
      <c r="C86" s="98"/>
      <c r="D86" s="79">
        <f t="shared" ref="D86:AQ86" si="50">+D80-D83+D84+D85</f>
        <v>-2926739.9806103352</v>
      </c>
      <c r="E86" s="79">
        <f t="shared" si="50"/>
        <v>-5247743.3057630844</v>
      </c>
      <c r="F86" s="79">
        <f t="shared" si="50"/>
        <v>-2830219.9589152629</v>
      </c>
      <c r="G86" s="79">
        <f t="shared" si="50"/>
        <v>-1381696.5471219502</v>
      </c>
      <c r="H86" s="79">
        <f t="shared" si="50"/>
        <v>-1387914.5514563341</v>
      </c>
      <c r="I86" s="79">
        <f t="shared" si="50"/>
        <v>-297632.64253330044</v>
      </c>
      <c r="J86" s="79">
        <f t="shared" si="50"/>
        <v>796063.72562816367</v>
      </c>
      <c r="K86" s="79">
        <f t="shared" si="50"/>
        <v>800116.98932093941</v>
      </c>
      <c r="L86" s="79">
        <f t="shared" si="50"/>
        <v>808111.64580047934</v>
      </c>
      <c r="M86" s="79">
        <f t="shared" si="50"/>
        <v>820360.75345797907</v>
      </c>
      <c r="N86" s="79">
        <f t="shared" si="50"/>
        <v>753881.94769050879</v>
      </c>
      <c r="O86" s="79">
        <f t="shared" si="50"/>
        <v>775734.51262383349</v>
      </c>
      <c r="P86" s="79">
        <f t="shared" si="50"/>
        <v>803024.40326278203</v>
      </c>
      <c r="Q86" s="79">
        <f t="shared" si="50"/>
        <v>836242.2675491944</v>
      </c>
      <c r="R86" s="79">
        <f t="shared" si="50"/>
        <v>875935.7732521717</v>
      </c>
      <c r="S86" s="79">
        <f t="shared" si="50"/>
        <v>-35359.222273448031</v>
      </c>
      <c r="T86" s="79">
        <f t="shared" si="50"/>
        <v>-27025.672319718506</v>
      </c>
      <c r="U86" s="79">
        <f t="shared" si="50"/>
        <v>-18717.905841534503</v>
      </c>
      <c r="V86" s="79">
        <f t="shared" si="50"/>
        <v>-10436.88496271753</v>
      </c>
      <c r="W86" s="79">
        <f t="shared" si="50"/>
        <v>-2183.5987788060902</v>
      </c>
      <c r="X86" s="79">
        <f t="shared" si="50"/>
        <v>-77292.314030301248</v>
      </c>
      <c r="Y86" s="79">
        <f t="shared" si="50"/>
        <v>-69097.575791697192</v>
      </c>
      <c r="Z86" s="79">
        <f t="shared" si="50"/>
        <v>-60933.708176644555</v>
      </c>
      <c r="AA86" s="79">
        <f t="shared" si="50"/>
        <v>-52801.815059618806</v>
      </c>
      <c r="AB86" s="79">
        <f t="shared" si="50"/>
        <v>712871.9691855422</v>
      </c>
      <c r="AC86" s="79">
        <f t="shared" si="50"/>
        <v>-179154.17459554848</v>
      </c>
      <c r="AD86" s="79">
        <f t="shared" si="50"/>
        <v>0</v>
      </c>
      <c r="AE86" s="79">
        <f t="shared" si="50"/>
        <v>0</v>
      </c>
      <c r="AF86" s="79">
        <f t="shared" si="50"/>
        <v>0</v>
      </c>
      <c r="AG86" s="79">
        <f t="shared" si="50"/>
        <v>0</v>
      </c>
      <c r="AH86" s="79">
        <f t="shared" si="50"/>
        <v>0</v>
      </c>
      <c r="AI86" s="79">
        <f t="shared" si="50"/>
        <v>0</v>
      </c>
      <c r="AJ86" s="79">
        <f t="shared" si="50"/>
        <v>0</v>
      </c>
      <c r="AK86" s="79">
        <f t="shared" si="50"/>
        <v>0</v>
      </c>
      <c r="AL86" s="79">
        <f t="shared" si="50"/>
        <v>0</v>
      </c>
      <c r="AM86" s="79">
        <f t="shared" si="50"/>
        <v>0</v>
      </c>
      <c r="AN86" s="79">
        <f t="shared" si="50"/>
        <v>0</v>
      </c>
      <c r="AO86" s="79">
        <f t="shared" si="50"/>
        <v>0</v>
      </c>
      <c r="AP86" s="79">
        <f t="shared" si="50"/>
        <v>0</v>
      </c>
      <c r="AQ86" s="79">
        <f t="shared" si="50"/>
        <v>0</v>
      </c>
      <c r="AR86" s="102"/>
    </row>
    <row r="87" spans="1:44">
      <c r="A87" s="108"/>
      <c r="B87" s="106" t="s">
        <v>71</v>
      </c>
      <c r="C87" s="109">
        <f>+H7</f>
        <v>0.35</v>
      </c>
      <c r="D87" s="79">
        <f>-D86*$C87</f>
        <v>1024358.9932136172</v>
      </c>
      <c r="E87" s="79">
        <f>-E86*$C87</f>
        <v>1836710.1570170794</v>
      </c>
      <c r="F87" s="79">
        <f>-F86*$C87</f>
        <v>990576.98562034196</v>
      </c>
      <c r="G87" s="79">
        <f>-G86*$C87</f>
        <v>483593.79149268253</v>
      </c>
      <c r="H87" s="79">
        <f>-H86*$C87</f>
        <v>485770.09300971689</v>
      </c>
      <c r="I87" s="79">
        <f t="shared" ref="I87:AQ87" si="51">-I86*$C87</f>
        <v>104171.42488665515</v>
      </c>
      <c r="J87" s="79">
        <f t="shared" si="51"/>
        <v>-278622.30396985728</v>
      </c>
      <c r="K87" s="79">
        <f t="shared" si="51"/>
        <v>-280040.94626232877</v>
      </c>
      <c r="L87" s="79">
        <f t="shared" si="51"/>
        <v>-282839.07603016775</v>
      </c>
      <c r="M87" s="79">
        <f t="shared" si="51"/>
        <v>-287126.26371029264</v>
      </c>
      <c r="N87" s="79">
        <f t="shared" si="51"/>
        <v>-263858.68169167807</v>
      </c>
      <c r="O87" s="79">
        <f t="shared" si="51"/>
        <v>-271507.07941834169</v>
      </c>
      <c r="P87" s="79">
        <f t="shared" si="51"/>
        <v>-281058.54114197369</v>
      </c>
      <c r="Q87" s="79">
        <f t="shared" si="51"/>
        <v>-292684.79364221799</v>
      </c>
      <c r="R87" s="79">
        <f t="shared" si="51"/>
        <v>-306577.52063826006</v>
      </c>
      <c r="S87" s="79">
        <f t="shared" si="51"/>
        <v>12375.727795706811</v>
      </c>
      <c r="T87" s="79">
        <f t="shared" si="51"/>
        <v>9458.985311901477</v>
      </c>
      <c r="U87" s="79">
        <f t="shared" si="51"/>
        <v>6551.2670445370759</v>
      </c>
      <c r="V87" s="79">
        <f t="shared" si="51"/>
        <v>3652.9097369511351</v>
      </c>
      <c r="W87" s="79">
        <f t="shared" si="51"/>
        <v>764.25957258213157</v>
      </c>
      <c r="X87" s="79">
        <f t="shared" si="51"/>
        <v>27052.309910605436</v>
      </c>
      <c r="Y87" s="79">
        <f t="shared" si="51"/>
        <v>24184.151527094014</v>
      </c>
      <c r="Z87" s="79">
        <f t="shared" si="51"/>
        <v>21326.797861825595</v>
      </c>
      <c r="AA87" s="79">
        <f t="shared" si="51"/>
        <v>18480.63527086658</v>
      </c>
      <c r="AB87" s="79">
        <f t="shared" si="51"/>
        <v>-249505.18921493975</v>
      </c>
      <c r="AC87" s="79">
        <f t="shared" si="51"/>
        <v>62703.961108441967</v>
      </c>
      <c r="AD87" s="79">
        <f t="shared" si="51"/>
        <v>0</v>
      </c>
      <c r="AE87" s="79">
        <f t="shared" si="51"/>
        <v>0</v>
      </c>
      <c r="AF87" s="79">
        <f t="shared" si="51"/>
        <v>0</v>
      </c>
      <c r="AG87" s="79">
        <f t="shared" si="51"/>
        <v>0</v>
      </c>
      <c r="AH87" s="79">
        <f t="shared" si="51"/>
        <v>0</v>
      </c>
      <c r="AI87" s="79">
        <f t="shared" si="51"/>
        <v>0</v>
      </c>
      <c r="AJ87" s="79">
        <f t="shared" si="51"/>
        <v>0</v>
      </c>
      <c r="AK87" s="79">
        <f t="shared" si="51"/>
        <v>0</v>
      </c>
      <c r="AL87" s="79">
        <f t="shared" si="51"/>
        <v>0</v>
      </c>
      <c r="AM87" s="79">
        <f t="shared" si="51"/>
        <v>0</v>
      </c>
      <c r="AN87" s="79">
        <f t="shared" si="51"/>
        <v>0</v>
      </c>
      <c r="AO87" s="79">
        <f t="shared" si="51"/>
        <v>0</v>
      </c>
      <c r="AP87" s="79">
        <f t="shared" si="51"/>
        <v>0</v>
      </c>
      <c r="AQ87" s="79">
        <f t="shared" si="51"/>
        <v>0</v>
      </c>
      <c r="AR87" s="102"/>
    </row>
    <row r="88" spans="1:44">
      <c r="A88" s="108"/>
      <c r="B88" s="106" t="s">
        <v>72</v>
      </c>
      <c r="C88" s="98"/>
      <c r="D88" s="79">
        <f>IF($C$17&gt;=D35,H10*C10,0)</f>
        <v>7700889.261435207</v>
      </c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102"/>
    </row>
    <row r="89" spans="1:44">
      <c r="A89" s="108"/>
      <c r="B89" s="97" t="s">
        <v>73</v>
      </c>
      <c r="C89" s="98"/>
      <c r="D89" s="80">
        <f t="shared" ref="D89:AQ89" si="52">+D88+D87+D77</f>
        <v>9088807.7032806147</v>
      </c>
      <c r="E89" s="80">
        <f t="shared" si="52"/>
        <v>2474280.3740705713</v>
      </c>
      <c r="F89" s="80">
        <f t="shared" si="52"/>
        <v>1341626.432106467</v>
      </c>
      <c r="G89" s="80">
        <f t="shared" si="52"/>
        <v>662927.64780144684</v>
      </c>
      <c r="H89" s="80">
        <f t="shared" si="52"/>
        <v>665718.91678012349</v>
      </c>
      <c r="I89" s="80">
        <f t="shared" si="52"/>
        <v>154948.89502731123</v>
      </c>
      <c r="J89" s="80">
        <f t="shared" si="52"/>
        <v>-357353.88122978556</v>
      </c>
      <c r="K89" s="80">
        <f t="shared" si="52"/>
        <v>-359173.39575560845</v>
      </c>
      <c r="L89" s="80">
        <f t="shared" si="52"/>
        <v>-362762.20583461074</v>
      </c>
      <c r="M89" s="80">
        <f t="shared" si="52"/>
        <v>-368260.84372262022</v>
      </c>
      <c r="N89" s="80">
        <f t="shared" si="52"/>
        <v>-338418.43475997017</v>
      </c>
      <c r="O89" s="80">
        <f t="shared" si="52"/>
        <v>-348228.07517234719</v>
      </c>
      <c r="P89" s="80">
        <f t="shared" si="52"/>
        <v>-360478.537069062</v>
      </c>
      <c r="Q89" s="80">
        <f t="shared" si="52"/>
        <v>-375390.07285038009</v>
      </c>
      <c r="R89" s="80">
        <f t="shared" si="52"/>
        <v>-393208.53117968363</v>
      </c>
      <c r="S89" s="80">
        <f t="shared" si="52"/>
        <v>15872.793734839033</v>
      </c>
      <c r="T89" s="80">
        <f t="shared" si="52"/>
        <v>12131.854002862648</v>
      </c>
      <c r="U89" s="80">
        <f t="shared" si="52"/>
        <v>8402.4885013921357</v>
      </c>
      <c r="V89" s="80">
        <f t="shared" si="52"/>
        <v>4685.1291288682532</v>
      </c>
      <c r="W89" s="80">
        <f t="shared" si="52"/>
        <v>980.2198913651514</v>
      </c>
      <c r="X89" s="80">
        <f t="shared" si="52"/>
        <v>34696.604704811056</v>
      </c>
      <c r="Y89" s="80">
        <f t="shared" si="52"/>
        <v>31017.977704294837</v>
      </c>
      <c r="Z89" s="80">
        <f t="shared" si="52"/>
        <v>27353.208560614617</v>
      </c>
      <c r="AA89" s="80">
        <f t="shared" si="52"/>
        <v>23702.792804235472</v>
      </c>
      <c r="AB89" s="80">
        <f t="shared" si="52"/>
        <v>-320009.01034318015</v>
      </c>
      <c r="AC89" s="80">
        <f t="shared" si="52"/>
        <v>80422.505848661051</v>
      </c>
      <c r="AD89" s="80">
        <f t="shared" si="52"/>
        <v>0</v>
      </c>
      <c r="AE89" s="80">
        <f t="shared" si="52"/>
        <v>0</v>
      </c>
      <c r="AF89" s="80">
        <f t="shared" si="52"/>
        <v>0</v>
      </c>
      <c r="AG89" s="80">
        <f t="shared" si="52"/>
        <v>0</v>
      </c>
      <c r="AH89" s="80">
        <f t="shared" si="52"/>
        <v>0</v>
      </c>
      <c r="AI89" s="80">
        <f t="shared" si="52"/>
        <v>0</v>
      </c>
      <c r="AJ89" s="80">
        <f t="shared" si="52"/>
        <v>0</v>
      </c>
      <c r="AK89" s="80">
        <f t="shared" si="52"/>
        <v>0</v>
      </c>
      <c r="AL89" s="80">
        <f t="shared" si="52"/>
        <v>0</v>
      </c>
      <c r="AM89" s="80">
        <f t="shared" si="52"/>
        <v>0</v>
      </c>
      <c r="AN89" s="80">
        <f t="shared" si="52"/>
        <v>0</v>
      </c>
      <c r="AO89" s="80">
        <f t="shared" si="52"/>
        <v>0</v>
      </c>
      <c r="AP89" s="80">
        <f t="shared" si="52"/>
        <v>0</v>
      </c>
      <c r="AQ89" s="80">
        <f t="shared" si="52"/>
        <v>0</v>
      </c>
      <c r="AR89" s="102"/>
    </row>
    <row r="90" spans="1:44">
      <c r="A90" s="108"/>
      <c r="B90" s="51"/>
      <c r="C90" s="112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57"/>
    </row>
    <row r="91" spans="1:44">
      <c r="B91" s="115"/>
      <c r="C91" s="116"/>
      <c r="D91" s="14"/>
      <c r="E91" s="14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36"/>
    </row>
    <row r="92" spans="1:44">
      <c r="B92" s="117" t="s">
        <v>75</v>
      </c>
      <c r="C92" s="118">
        <v>0</v>
      </c>
      <c r="D92" s="118">
        <v>1</v>
      </c>
      <c r="E92" s="118">
        <v>2</v>
      </c>
      <c r="F92" s="118">
        <v>3</v>
      </c>
      <c r="G92" s="118">
        <v>4</v>
      </c>
      <c r="H92" s="118">
        <v>5</v>
      </c>
      <c r="I92" s="118">
        <v>6</v>
      </c>
      <c r="J92" s="118">
        <v>7</v>
      </c>
      <c r="K92" s="118">
        <v>8</v>
      </c>
      <c r="L92" s="118">
        <v>9</v>
      </c>
      <c r="M92" s="118">
        <v>10</v>
      </c>
      <c r="N92" s="118">
        <v>11</v>
      </c>
      <c r="O92" s="118">
        <v>12</v>
      </c>
      <c r="P92" s="118">
        <v>13</v>
      </c>
      <c r="Q92" s="118">
        <v>14</v>
      </c>
      <c r="R92" s="118">
        <v>15</v>
      </c>
      <c r="S92" s="118">
        <v>16</v>
      </c>
      <c r="T92" s="118">
        <v>17</v>
      </c>
      <c r="U92" s="118">
        <v>18</v>
      </c>
      <c r="V92" s="118">
        <v>19</v>
      </c>
      <c r="W92" s="118">
        <v>20</v>
      </c>
      <c r="X92" s="118">
        <v>21</v>
      </c>
      <c r="Y92" s="118">
        <v>22</v>
      </c>
      <c r="Z92" s="118">
        <v>23</v>
      </c>
      <c r="AA92" s="118">
        <v>24</v>
      </c>
      <c r="AB92" s="118">
        <v>25</v>
      </c>
      <c r="AC92" s="118">
        <v>26</v>
      </c>
      <c r="AD92" s="118">
        <v>27</v>
      </c>
      <c r="AE92" s="118">
        <v>28</v>
      </c>
      <c r="AF92" s="118">
        <v>29</v>
      </c>
      <c r="AG92" s="118">
        <v>30</v>
      </c>
      <c r="AH92" s="118">
        <v>31</v>
      </c>
      <c r="AI92" s="118">
        <v>32</v>
      </c>
      <c r="AJ92" s="118">
        <v>33</v>
      </c>
      <c r="AK92" s="118">
        <v>34</v>
      </c>
      <c r="AL92" s="118">
        <v>35</v>
      </c>
      <c r="AM92" s="118">
        <v>36</v>
      </c>
      <c r="AN92" s="118">
        <v>37</v>
      </c>
      <c r="AO92" s="118">
        <v>38</v>
      </c>
      <c r="AP92" s="118">
        <v>39</v>
      </c>
      <c r="AQ92" s="118">
        <v>40</v>
      </c>
      <c r="AR92" s="119"/>
    </row>
    <row r="93" spans="1:44">
      <c r="B93" s="120" t="s">
        <v>76</v>
      </c>
      <c r="C93" s="121"/>
      <c r="D93" s="122">
        <f t="shared" ref="D93:AQ93" si="53">IF(D95&gt;0, 1, 0)</f>
        <v>1</v>
      </c>
      <c r="E93" s="122">
        <f t="shared" si="53"/>
        <v>1</v>
      </c>
      <c r="F93" s="122">
        <f t="shared" si="53"/>
        <v>1</v>
      </c>
      <c r="G93" s="122">
        <f t="shared" si="53"/>
        <v>1</v>
      </c>
      <c r="H93" s="122">
        <f t="shared" si="53"/>
        <v>1</v>
      </c>
      <c r="I93" s="122">
        <f t="shared" si="53"/>
        <v>1</v>
      </c>
      <c r="J93" s="122">
        <f t="shared" si="53"/>
        <v>1</v>
      </c>
      <c r="K93" s="122">
        <f t="shared" si="53"/>
        <v>1</v>
      </c>
      <c r="L93" s="122">
        <f t="shared" si="53"/>
        <v>1</v>
      </c>
      <c r="M93" s="122">
        <f t="shared" si="53"/>
        <v>1</v>
      </c>
      <c r="N93" s="122">
        <f t="shared" si="53"/>
        <v>1</v>
      </c>
      <c r="O93" s="122">
        <f t="shared" si="53"/>
        <v>1</v>
      </c>
      <c r="P93" s="122">
        <f t="shared" si="53"/>
        <v>1</v>
      </c>
      <c r="Q93" s="122">
        <f t="shared" si="53"/>
        <v>1</v>
      </c>
      <c r="R93" s="122">
        <f t="shared" si="53"/>
        <v>1</v>
      </c>
      <c r="S93" s="122">
        <f t="shared" si="53"/>
        <v>0</v>
      </c>
      <c r="T93" s="122">
        <f t="shared" si="53"/>
        <v>0</v>
      </c>
      <c r="U93" s="122">
        <f t="shared" si="53"/>
        <v>0</v>
      </c>
      <c r="V93" s="122">
        <f t="shared" si="53"/>
        <v>0</v>
      </c>
      <c r="W93" s="122">
        <f t="shared" si="53"/>
        <v>0</v>
      </c>
      <c r="X93" s="122">
        <f t="shared" si="53"/>
        <v>0</v>
      </c>
      <c r="Y93" s="122">
        <f t="shared" si="53"/>
        <v>0</v>
      </c>
      <c r="Z93" s="122">
        <f t="shared" si="53"/>
        <v>0</v>
      </c>
      <c r="AA93" s="122">
        <f t="shared" si="53"/>
        <v>0</v>
      </c>
      <c r="AB93" s="122">
        <f t="shared" si="53"/>
        <v>0</v>
      </c>
      <c r="AC93" s="122">
        <f t="shared" si="53"/>
        <v>0</v>
      </c>
      <c r="AD93" s="122">
        <f t="shared" si="53"/>
        <v>0</v>
      </c>
      <c r="AE93" s="122">
        <f t="shared" si="53"/>
        <v>0</v>
      </c>
      <c r="AF93" s="122">
        <f t="shared" si="53"/>
        <v>0</v>
      </c>
      <c r="AG93" s="122">
        <f t="shared" si="53"/>
        <v>0</v>
      </c>
      <c r="AH93" s="122">
        <f t="shared" si="53"/>
        <v>0</v>
      </c>
      <c r="AI93" s="122">
        <f t="shared" si="53"/>
        <v>0</v>
      </c>
      <c r="AJ93" s="122">
        <f t="shared" si="53"/>
        <v>0</v>
      </c>
      <c r="AK93" s="122">
        <f t="shared" si="53"/>
        <v>0</v>
      </c>
      <c r="AL93" s="122">
        <f t="shared" si="53"/>
        <v>0</v>
      </c>
      <c r="AM93" s="122">
        <f t="shared" si="53"/>
        <v>0</v>
      </c>
      <c r="AN93" s="122">
        <f t="shared" si="53"/>
        <v>0</v>
      </c>
      <c r="AO93" s="122">
        <f t="shared" si="53"/>
        <v>0</v>
      </c>
      <c r="AP93" s="122">
        <f t="shared" si="53"/>
        <v>0</v>
      </c>
      <c r="AQ93" s="122">
        <f t="shared" si="53"/>
        <v>0</v>
      </c>
      <c r="AR93" s="36"/>
    </row>
    <row r="94" spans="1:44">
      <c r="A94" s="119"/>
      <c r="B94" s="13" t="s">
        <v>77</v>
      </c>
      <c r="C94" s="71"/>
      <c r="D94" s="123">
        <f t="shared" ref="D94:AQ94" si="54">C99</f>
        <v>5133926.1742901374</v>
      </c>
      <c r="E94" s="123">
        <f>D99</f>
        <v>4984707.3803067598</v>
      </c>
      <c r="F94" s="123">
        <f t="shared" si="54"/>
        <v>4819074.5189852109</v>
      </c>
      <c r="G94" s="123">
        <f t="shared" si="54"/>
        <v>4635222.0429182919</v>
      </c>
      <c r="H94" s="123">
        <f t="shared" si="54"/>
        <v>4431145.7944840118</v>
      </c>
      <c r="I94" s="123">
        <f>H99</f>
        <v>4204621.1587219611</v>
      </c>
      <c r="J94" s="123">
        <f t="shared" si="54"/>
        <v>3953178.8130260846</v>
      </c>
      <c r="K94" s="123">
        <f t="shared" si="54"/>
        <v>3674077.8093036618</v>
      </c>
      <c r="L94" s="123">
        <f t="shared" si="54"/>
        <v>3364275.6951717725</v>
      </c>
      <c r="M94" s="123">
        <f t="shared" si="54"/>
        <v>3020395.3484853753</v>
      </c>
      <c r="N94" s="123">
        <f t="shared" si="54"/>
        <v>2638688.1636634744</v>
      </c>
      <c r="O94" s="123">
        <f t="shared" si="54"/>
        <v>2214993.1885111644</v>
      </c>
      <c r="P94" s="123">
        <f t="shared" si="54"/>
        <v>1744691.7660921002</v>
      </c>
      <c r="Q94" s="123">
        <f t="shared" si="54"/>
        <v>1222657.1872069391</v>
      </c>
      <c r="R94" s="123">
        <f t="shared" si="54"/>
        <v>643198.80464441027</v>
      </c>
      <c r="S94" s="123">
        <f t="shared" si="54"/>
        <v>3.2596290111541748E-9</v>
      </c>
      <c r="T94" s="123">
        <f t="shared" si="54"/>
        <v>3.2596290111541748E-9</v>
      </c>
      <c r="U94" s="123">
        <f t="shared" si="54"/>
        <v>3.2596290111541748E-9</v>
      </c>
      <c r="V94" s="123">
        <f t="shared" si="54"/>
        <v>3.2596290111541748E-9</v>
      </c>
      <c r="W94" s="123">
        <f t="shared" si="54"/>
        <v>3.2596290111541748E-9</v>
      </c>
      <c r="X94" s="123">
        <f t="shared" si="54"/>
        <v>3.2596290111541748E-9</v>
      </c>
      <c r="Y94" s="123">
        <f t="shared" si="54"/>
        <v>3.2596290111541748E-9</v>
      </c>
      <c r="Z94" s="123">
        <f t="shared" si="54"/>
        <v>3.2596290111541748E-9</v>
      </c>
      <c r="AA94" s="123">
        <f t="shared" si="54"/>
        <v>3.2596290111541748E-9</v>
      </c>
      <c r="AB94" s="123">
        <f t="shared" si="54"/>
        <v>3.2596290111541748E-9</v>
      </c>
      <c r="AC94" s="123">
        <f t="shared" si="54"/>
        <v>3.2596290111541748E-9</v>
      </c>
      <c r="AD94" s="123">
        <f t="shared" si="54"/>
        <v>3.2596290111541748E-9</v>
      </c>
      <c r="AE94" s="123">
        <f t="shared" si="54"/>
        <v>3.2596290111541748E-9</v>
      </c>
      <c r="AF94" s="123">
        <f t="shared" si="54"/>
        <v>3.2596290111541748E-9</v>
      </c>
      <c r="AG94" s="123">
        <f t="shared" si="54"/>
        <v>3.2596290111541748E-9</v>
      </c>
      <c r="AH94" s="123">
        <f t="shared" si="54"/>
        <v>3.2596290111541748E-9</v>
      </c>
      <c r="AI94" s="123">
        <f t="shared" si="54"/>
        <v>3.2596290111541748E-9</v>
      </c>
      <c r="AJ94" s="123">
        <f t="shared" si="54"/>
        <v>3.2596290111541748E-9</v>
      </c>
      <c r="AK94" s="123">
        <f t="shared" si="54"/>
        <v>3.2596290111541748E-9</v>
      </c>
      <c r="AL94" s="123">
        <f t="shared" si="54"/>
        <v>3.2596290111541748E-9</v>
      </c>
      <c r="AM94" s="123">
        <f t="shared" si="54"/>
        <v>3.2596290111541748E-9</v>
      </c>
      <c r="AN94" s="123">
        <f t="shared" si="54"/>
        <v>3.2596290111541748E-9</v>
      </c>
      <c r="AO94" s="123">
        <f t="shared" si="54"/>
        <v>3.2596290111541748E-9</v>
      </c>
      <c r="AP94" s="123">
        <f t="shared" si="54"/>
        <v>3.2596290111541748E-9</v>
      </c>
      <c r="AQ94" s="123">
        <f t="shared" si="54"/>
        <v>3.2596290111541748E-9</v>
      </c>
      <c r="AR94" s="124"/>
    </row>
    <row r="95" spans="1:44">
      <c r="A95" s="36"/>
      <c r="B95" s="13" t="s">
        <v>78</v>
      </c>
      <c r="C95" s="71"/>
      <c r="D95" s="123">
        <f t="shared" ref="D95:AQ95" si="55">IF(AND(D92&gt;0,$H$19&gt;=D92),-PMT($H$18,$H$19,$H$26),0)</f>
        <v>713950.67315529217</v>
      </c>
      <c r="E95" s="123">
        <f t="shared" si="55"/>
        <v>713950.67315529217</v>
      </c>
      <c r="F95" s="123">
        <f t="shared" si="55"/>
        <v>713950.67315529217</v>
      </c>
      <c r="G95" s="123">
        <f t="shared" si="55"/>
        <v>713950.67315529217</v>
      </c>
      <c r="H95" s="123">
        <f t="shared" si="55"/>
        <v>713950.67315529217</v>
      </c>
      <c r="I95" s="123">
        <f t="shared" si="55"/>
        <v>713950.67315529217</v>
      </c>
      <c r="J95" s="123">
        <f t="shared" si="55"/>
        <v>713950.67315529217</v>
      </c>
      <c r="K95" s="123">
        <f t="shared" si="55"/>
        <v>713950.67315529217</v>
      </c>
      <c r="L95" s="123">
        <f t="shared" si="55"/>
        <v>713950.67315529217</v>
      </c>
      <c r="M95" s="123">
        <f t="shared" si="55"/>
        <v>713950.67315529217</v>
      </c>
      <c r="N95" s="123">
        <f t="shared" si="55"/>
        <v>713950.67315529217</v>
      </c>
      <c r="O95" s="123">
        <f t="shared" si="55"/>
        <v>713950.67315529217</v>
      </c>
      <c r="P95" s="123">
        <f t="shared" si="55"/>
        <v>713950.67315529217</v>
      </c>
      <c r="Q95" s="123">
        <f t="shared" si="55"/>
        <v>713950.67315529217</v>
      </c>
      <c r="R95" s="123">
        <f t="shared" si="55"/>
        <v>713950.67315529217</v>
      </c>
      <c r="S95" s="123">
        <f t="shared" si="55"/>
        <v>0</v>
      </c>
      <c r="T95" s="123">
        <f t="shared" si="55"/>
        <v>0</v>
      </c>
      <c r="U95" s="123">
        <f t="shared" si="55"/>
        <v>0</v>
      </c>
      <c r="V95" s="123">
        <f t="shared" si="55"/>
        <v>0</v>
      </c>
      <c r="W95" s="123">
        <f t="shared" si="55"/>
        <v>0</v>
      </c>
      <c r="X95" s="123">
        <f t="shared" si="55"/>
        <v>0</v>
      </c>
      <c r="Y95" s="123">
        <f t="shared" si="55"/>
        <v>0</v>
      </c>
      <c r="Z95" s="123">
        <f t="shared" si="55"/>
        <v>0</v>
      </c>
      <c r="AA95" s="123">
        <f t="shared" si="55"/>
        <v>0</v>
      </c>
      <c r="AB95" s="123">
        <f t="shared" si="55"/>
        <v>0</v>
      </c>
      <c r="AC95" s="123">
        <f t="shared" si="55"/>
        <v>0</v>
      </c>
      <c r="AD95" s="123">
        <f t="shared" si="55"/>
        <v>0</v>
      </c>
      <c r="AE95" s="123">
        <f t="shared" si="55"/>
        <v>0</v>
      </c>
      <c r="AF95" s="123">
        <f t="shared" si="55"/>
        <v>0</v>
      </c>
      <c r="AG95" s="123">
        <f t="shared" si="55"/>
        <v>0</v>
      </c>
      <c r="AH95" s="123">
        <f t="shared" si="55"/>
        <v>0</v>
      </c>
      <c r="AI95" s="123">
        <f t="shared" si="55"/>
        <v>0</v>
      </c>
      <c r="AJ95" s="123">
        <f t="shared" si="55"/>
        <v>0</v>
      </c>
      <c r="AK95" s="123">
        <f t="shared" si="55"/>
        <v>0</v>
      </c>
      <c r="AL95" s="123">
        <f t="shared" si="55"/>
        <v>0</v>
      </c>
      <c r="AM95" s="123">
        <f t="shared" si="55"/>
        <v>0</v>
      </c>
      <c r="AN95" s="123">
        <f t="shared" si="55"/>
        <v>0</v>
      </c>
      <c r="AO95" s="123">
        <f t="shared" si="55"/>
        <v>0</v>
      </c>
      <c r="AP95" s="123">
        <f t="shared" si="55"/>
        <v>0</v>
      </c>
      <c r="AQ95" s="123">
        <f t="shared" si="55"/>
        <v>0</v>
      </c>
      <c r="AR95" s="36"/>
    </row>
    <row r="96" spans="1:44">
      <c r="A96" s="124"/>
      <c r="B96" s="13" t="s">
        <v>63</v>
      </c>
      <c r="C96" s="71"/>
      <c r="D96" s="123">
        <f t="shared" ref="D96:AQ96" si="56">IF(AND(D94&gt;0,$H$19&gt;=D92),D94*$H$18,0)</f>
        <v>564731.87917191512</v>
      </c>
      <c r="E96" s="123">
        <f t="shared" si="56"/>
        <v>548317.81183374359</v>
      </c>
      <c r="F96" s="123">
        <f t="shared" si="56"/>
        <v>530098.19708837324</v>
      </c>
      <c r="G96" s="123">
        <f t="shared" si="56"/>
        <v>509874.42472101212</v>
      </c>
      <c r="H96" s="123">
        <f t="shared" si="56"/>
        <v>487426.03739324131</v>
      </c>
      <c r="I96" s="123">
        <f t="shared" si="56"/>
        <v>462508.32745941571</v>
      </c>
      <c r="J96" s="123">
        <f t="shared" si="56"/>
        <v>434849.6694328693</v>
      </c>
      <c r="K96" s="123">
        <f t="shared" si="56"/>
        <v>404148.55902340281</v>
      </c>
      <c r="L96" s="123">
        <f t="shared" si="56"/>
        <v>370070.32646889496</v>
      </c>
      <c r="M96" s="123">
        <f t="shared" si="56"/>
        <v>332243.48833339126</v>
      </c>
      <c r="N96" s="123">
        <f t="shared" si="56"/>
        <v>290255.69800298219</v>
      </c>
      <c r="O96" s="123">
        <f t="shared" si="56"/>
        <v>243649.25073622807</v>
      </c>
      <c r="P96" s="123">
        <f t="shared" si="56"/>
        <v>191916.09427013103</v>
      </c>
      <c r="Q96" s="123">
        <f t="shared" si="56"/>
        <v>134492.29059276331</v>
      </c>
      <c r="R96" s="123">
        <f t="shared" si="56"/>
        <v>70751.868510885135</v>
      </c>
      <c r="S96" s="123">
        <f t="shared" si="56"/>
        <v>0</v>
      </c>
      <c r="T96" s="123">
        <f t="shared" si="56"/>
        <v>0</v>
      </c>
      <c r="U96" s="123">
        <f t="shared" si="56"/>
        <v>0</v>
      </c>
      <c r="V96" s="123">
        <f t="shared" si="56"/>
        <v>0</v>
      </c>
      <c r="W96" s="123">
        <f t="shared" si="56"/>
        <v>0</v>
      </c>
      <c r="X96" s="123">
        <f t="shared" si="56"/>
        <v>0</v>
      </c>
      <c r="Y96" s="123">
        <f t="shared" si="56"/>
        <v>0</v>
      </c>
      <c r="Z96" s="123">
        <f t="shared" si="56"/>
        <v>0</v>
      </c>
      <c r="AA96" s="123">
        <f t="shared" si="56"/>
        <v>0</v>
      </c>
      <c r="AB96" s="123">
        <f t="shared" si="56"/>
        <v>0</v>
      </c>
      <c r="AC96" s="123">
        <f t="shared" si="56"/>
        <v>0</v>
      </c>
      <c r="AD96" s="123">
        <f t="shared" si="56"/>
        <v>0</v>
      </c>
      <c r="AE96" s="123">
        <f t="shared" si="56"/>
        <v>0</v>
      </c>
      <c r="AF96" s="123">
        <f t="shared" si="56"/>
        <v>0</v>
      </c>
      <c r="AG96" s="123">
        <f t="shared" si="56"/>
        <v>0</v>
      </c>
      <c r="AH96" s="123">
        <f t="shared" si="56"/>
        <v>0</v>
      </c>
      <c r="AI96" s="123">
        <f t="shared" si="56"/>
        <v>0</v>
      </c>
      <c r="AJ96" s="123">
        <f t="shared" si="56"/>
        <v>0</v>
      </c>
      <c r="AK96" s="123">
        <f t="shared" si="56"/>
        <v>0</v>
      </c>
      <c r="AL96" s="123">
        <f t="shared" si="56"/>
        <v>0</v>
      </c>
      <c r="AM96" s="123">
        <f t="shared" si="56"/>
        <v>0</v>
      </c>
      <c r="AN96" s="123">
        <f t="shared" si="56"/>
        <v>0</v>
      </c>
      <c r="AO96" s="123">
        <f t="shared" si="56"/>
        <v>0</v>
      </c>
      <c r="AP96" s="123">
        <f t="shared" si="56"/>
        <v>0</v>
      </c>
      <c r="AQ96" s="123">
        <f t="shared" si="56"/>
        <v>0</v>
      </c>
      <c r="AR96" s="36"/>
    </row>
    <row r="97" spans="1:44">
      <c r="A97" s="36"/>
      <c r="B97" s="13"/>
      <c r="C97" s="71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3"/>
      <c r="AH97" s="123"/>
      <c r="AI97" s="123"/>
      <c r="AJ97" s="123"/>
      <c r="AK97" s="123"/>
      <c r="AL97" s="123"/>
      <c r="AM97" s="123"/>
      <c r="AN97" s="123"/>
      <c r="AO97" s="123"/>
      <c r="AP97" s="123"/>
      <c r="AQ97" s="123"/>
      <c r="AR97" s="36"/>
    </row>
    <row r="98" spans="1:44">
      <c r="A98" s="36"/>
      <c r="B98" s="13" t="s">
        <v>79</v>
      </c>
      <c r="C98" s="71"/>
      <c r="D98" s="123">
        <f t="shared" ref="D98:AQ98" si="57">IF($H$19&gt;=D92,D95-D96,0)</f>
        <v>149218.79398337705</v>
      </c>
      <c r="E98" s="123">
        <f t="shared" si="57"/>
        <v>165632.86132154858</v>
      </c>
      <c r="F98" s="123">
        <f t="shared" si="57"/>
        <v>183852.47606691893</v>
      </c>
      <c r="G98" s="123">
        <f t="shared" si="57"/>
        <v>204076.24843428005</v>
      </c>
      <c r="H98" s="123">
        <f t="shared" si="57"/>
        <v>226524.63576205086</v>
      </c>
      <c r="I98" s="123">
        <f t="shared" si="57"/>
        <v>251442.34569587646</v>
      </c>
      <c r="J98" s="123">
        <f t="shared" si="57"/>
        <v>279101.00372242287</v>
      </c>
      <c r="K98" s="123">
        <f t="shared" si="57"/>
        <v>309802.11413188936</v>
      </c>
      <c r="L98" s="123">
        <f t="shared" si="57"/>
        <v>343880.34668639721</v>
      </c>
      <c r="M98" s="123">
        <f t="shared" si="57"/>
        <v>381707.18482190091</v>
      </c>
      <c r="N98" s="123">
        <f t="shared" si="57"/>
        <v>423694.97515230998</v>
      </c>
      <c r="O98" s="123">
        <f t="shared" si="57"/>
        <v>470301.4224190641</v>
      </c>
      <c r="P98" s="123">
        <f t="shared" si="57"/>
        <v>522034.57888516114</v>
      </c>
      <c r="Q98" s="123">
        <f t="shared" si="57"/>
        <v>579458.38256252883</v>
      </c>
      <c r="R98" s="123">
        <f t="shared" si="57"/>
        <v>643198.80464440701</v>
      </c>
      <c r="S98" s="123">
        <f t="shared" si="57"/>
        <v>0</v>
      </c>
      <c r="T98" s="123">
        <f t="shared" si="57"/>
        <v>0</v>
      </c>
      <c r="U98" s="123">
        <f t="shared" si="57"/>
        <v>0</v>
      </c>
      <c r="V98" s="123">
        <f t="shared" si="57"/>
        <v>0</v>
      </c>
      <c r="W98" s="123">
        <f t="shared" si="57"/>
        <v>0</v>
      </c>
      <c r="X98" s="123">
        <f t="shared" si="57"/>
        <v>0</v>
      </c>
      <c r="Y98" s="123">
        <f t="shared" si="57"/>
        <v>0</v>
      </c>
      <c r="Z98" s="123">
        <f t="shared" si="57"/>
        <v>0</v>
      </c>
      <c r="AA98" s="123">
        <f t="shared" si="57"/>
        <v>0</v>
      </c>
      <c r="AB98" s="123">
        <f t="shared" si="57"/>
        <v>0</v>
      </c>
      <c r="AC98" s="123">
        <f t="shared" si="57"/>
        <v>0</v>
      </c>
      <c r="AD98" s="123">
        <f t="shared" si="57"/>
        <v>0</v>
      </c>
      <c r="AE98" s="123">
        <f t="shared" si="57"/>
        <v>0</v>
      </c>
      <c r="AF98" s="123">
        <f t="shared" si="57"/>
        <v>0</v>
      </c>
      <c r="AG98" s="123">
        <f t="shared" si="57"/>
        <v>0</v>
      </c>
      <c r="AH98" s="123">
        <f t="shared" si="57"/>
        <v>0</v>
      </c>
      <c r="AI98" s="123">
        <f t="shared" si="57"/>
        <v>0</v>
      </c>
      <c r="AJ98" s="123">
        <f t="shared" si="57"/>
        <v>0</v>
      </c>
      <c r="AK98" s="123">
        <f t="shared" si="57"/>
        <v>0</v>
      </c>
      <c r="AL98" s="123">
        <f t="shared" si="57"/>
        <v>0</v>
      </c>
      <c r="AM98" s="123">
        <f t="shared" si="57"/>
        <v>0</v>
      </c>
      <c r="AN98" s="123">
        <f t="shared" si="57"/>
        <v>0</v>
      </c>
      <c r="AO98" s="123">
        <f t="shared" si="57"/>
        <v>0</v>
      </c>
      <c r="AP98" s="123">
        <f t="shared" si="57"/>
        <v>0</v>
      </c>
      <c r="AQ98" s="123">
        <f t="shared" si="57"/>
        <v>0</v>
      </c>
      <c r="AR98" s="36"/>
    </row>
    <row r="99" spans="1:44">
      <c r="A99" s="36"/>
      <c r="B99" s="13" t="s">
        <v>80</v>
      </c>
      <c r="C99" s="125">
        <f t="shared" ref="C99:AP99" si="58">IF(D92=1, IF($H$19&gt;=D92,$H$26,0), C94-C98)</f>
        <v>5133926.1742901374</v>
      </c>
      <c r="D99" s="125">
        <f t="shared" si="58"/>
        <v>4984707.3803067598</v>
      </c>
      <c r="E99" s="125">
        <f t="shared" si="58"/>
        <v>4819074.5189852109</v>
      </c>
      <c r="F99" s="125">
        <f t="shared" si="58"/>
        <v>4635222.0429182919</v>
      </c>
      <c r="G99" s="125">
        <f t="shared" si="58"/>
        <v>4431145.7944840118</v>
      </c>
      <c r="H99" s="125">
        <f t="shared" si="58"/>
        <v>4204621.1587219611</v>
      </c>
      <c r="I99" s="125">
        <f t="shared" si="58"/>
        <v>3953178.8130260846</v>
      </c>
      <c r="J99" s="125">
        <f t="shared" si="58"/>
        <v>3674077.8093036618</v>
      </c>
      <c r="K99" s="125">
        <f t="shared" si="58"/>
        <v>3364275.6951717725</v>
      </c>
      <c r="L99" s="125">
        <f t="shared" si="58"/>
        <v>3020395.3484853753</v>
      </c>
      <c r="M99" s="125">
        <f t="shared" si="58"/>
        <v>2638688.1636634744</v>
      </c>
      <c r="N99" s="125">
        <f t="shared" si="58"/>
        <v>2214993.1885111644</v>
      </c>
      <c r="O99" s="125">
        <f t="shared" si="58"/>
        <v>1744691.7660921002</v>
      </c>
      <c r="P99" s="125">
        <f t="shared" si="58"/>
        <v>1222657.1872069391</v>
      </c>
      <c r="Q99" s="125">
        <f t="shared" si="58"/>
        <v>643198.80464441027</v>
      </c>
      <c r="R99" s="125">
        <f t="shared" si="58"/>
        <v>3.2596290111541748E-9</v>
      </c>
      <c r="S99" s="125">
        <f t="shared" si="58"/>
        <v>3.2596290111541748E-9</v>
      </c>
      <c r="T99" s="125">
        <f t="shared" si="58"/>
        <v>3.2596290111541748E-9</v>
      </c>
      <c r="U99" s="125">
        <f t="shared" si="58"/>
        <v>3.2596290111541748E-9</v>
      </c>
      <c r="V99" s="125">
        <f t="shared" si="58"/>
        <v>3.2596290111541748E-9</v>
      </c>
      <c r="W99" s="125">
        <f t="shared" si="58"/>
        <v>3.2596290111541748E-9</v>
      </c>
      <c r="X99" s="125">
        <f t="shared" si="58"/>
        <v>3.2596290111541748E-9</v>
      </c>
      <c r="Y99" s="125">
        <f t="shared" si="58"/>
        <v>3.2596290111541748E-9</v>
      </c>
      <c r="Z99" s="125">
        <f t="shared" si="58"/>
        <v>3.2596290111541748E-9</v>
      </c>
      <c r="AA99" s="125">
        <f t="shared" si="58"/>
        <v>3.2596290111541748E-9</v>
      </c>
      <c r="AB99" s="125">
        <f t="shared" si="58"/>
        <v>3.2596290111541748E-9</v>
      </c>
      <c r="AC99" s="125">
        <f t="shared" si="58"/>
        <v>3.2596290111541748E-9</v>
      </c>
      <c r="AD99" s="125">
        <f t="shared" si="58"/>
        <v>3.2596290111541748E-9</v>
      </c>
      <c r="AE99" s="125">
        <f t="shared" si="58"/>
        <v>3.2596290111541748E-9</v>
      </c>
      <c r="AF99" s="125">
        <f t="shared" si="58"/>
        <v>3.2596290111541748E-9</v>
      </c>
      <c r="AG99" s="125">
        <f t="shared" si="58"/>
        <v>3.2596290111541748E-9</v>
      </c>
      <c r="AH99" s="125">
        <f t="shared" si="58"/>
        <v>3.2596290111541748E-9</v>
      </c>
      <c r="AI99" s="125">
        <f t="shared" si="58"/>
        <v>3.2596290111541748E-9</v>
      </c>
      <c r="AJ99" s="125">
        <f t="shared" si="58"/>
        <v>3.2596290111541748E-9</v>
      </c>
      <c r="AK99" s="125">
        <f t="shared" si="58"/>
        <v>3.2596290111541748E-9</v>
      </c>
      <c r="AL99" s="125">
        <f t="shared" si="58"/>
        <v>3.2596290111541748E-9</v>
      </c>
      <c r="AM99" s="125">
        <f t="shared" si="58"/>
        <v>3.2596290111541748E-9</v>
      </c>
      <c r="AN99" s="125">
        <f t="shared" si="58"/>
        <v>3.2596290111541748E-9</v>
      </c>
      <c r="AO99" s="125">
        <f t="shared" si="58"/>
        <v>3.2596290111541748E-9</v>
      </c>
      <c r="AP99" s="125">
        <f t="shared" si="58"/>
        <v>3.2596290111541748E-9</v>
      </c>
      <c r="AQ99" s="125" t="e">
        <f>IF(#REF!=1, IF($H$19&gt;=#REF!,$H$26,0), AQ94-AQ98)</f>
        <v>#REF!</v>
      </c>
      <c r="AR99" s="36"/>
    </row>
    <row r="100" spans="1:44">
      <c r="A100" s="36"/>
      <c r="B100" s="13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125"/>
      <c r="AR100" s="36"/>
    </row>
    <row r="101" spans="1:44">
      <c r="A101" s="36"/>
      <c r="B101" s="70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36"/>
    </row>
    <row r="102" spans="1:44">
      <c r="A102" s="36"/>
      <c r="B102" s="117" t="s">
        <v>81</v>
      </c>
      <c r="C102" s="118">
        <f>C92</f>
        <v>0</v>
      </c>
      <c r="D102" s="118">
        <v>1</v>
      </c>
      <c r="E102" s="118">
        <v>2</v>
      </c>
      <c r="F102" s="118">
        <v>3</v>
      </c>
      <c r="G102" s="118">
        <v>4</v>
      </c>
      <c r="H102" s="118">
        <v>5</v>
      </c>
      <c r="I102" s="118">
        <v>6</v>
      </c>
      <c r="J102" s="118">
        <v>7</v>
      </c>
      <c r="K102" s="118">
        <v>8</v>
      </c>
      <c r="L102" s="118">
        <v>9</v>
      </c>
      <c r="M102" s="118">
        <v>10</v>
      </c>
      <c r="N102" s="118">
        <v>11</v>
      </c>
      <c r="O102" s="118">
        <v>12</v>
      </c>
      <c r="P102" s="118">
        <v>13</v>
      </c>
      <c r="Q102" s="118">
        <v>14</v>
      </c>
      <c r="R102" s="118">
        <v>15</v>
      </c>
      <c r="S102" s="118">
        <v>16</v>
      </c>
      <c r="T102" s="118">
        <v>17</v>
      </c>
      <c r="U102" s="118">
        <v>18</v>
      </c>
      <c r="V102" s="118">
        <v>19</v>
      </c>
      <c r="W102" s="118">
        <v>20</v>
      </c>
      <c r="X102" s="118">
        <v>21</v>
      </c>
      <c r="Y102" s="118">
        <v>22</v>
      </c>
      <c r="Z102" s="118">
        <v>23</v>
      </c>
      <c r="AA102" s="118">
        <v>24</v>
      </c>
      <c r="AB102" s="118">
        <v>25</v>
      </c>
      <c r="AC102" s="118">
        <v>26</v>
      </c>
      <c r="AD102" s="118">
        <v>27</v>
      </c>
      <c r="AE102" s="118">
        <v>28</v>
      </c>
      <c r="AF102" s="118">
        <v>29</v>
      </c>
      <c r="AG102" s="118">
        <v>30</v>
      </c>
      <c r="AH102" s="118">
        <v>31</v>
      </c>
      <c r="AI102" s="118">
        <v>32</v>
      </c>
      <c r="AJ102" s="118">
        <v>33</v>
      </c>
      <c r="AK102" s="118">
        <v>34</v>
      </c>
      <c r="AL102" s="118">
        <v>35</v>
      </c>
      <c r="AM102" s="118">
        <v>36</v>
      </c>
      <c r="AN102" s="118">
        <v>37</v>
      </c>
      <c r="AO102" s="118">
        <v>38</v>
      </c>
      <c r="AP102" s="118">
        <v>39</v>
      </c>
      <c r="AQ102" s="118">
        <v>40</v>
      </c>
      <c r="AR102" s="36"/>
    </row>
    <row r="103" spans="1:44">
      <c r="A103" s="36"/>
      <c r="B103" s="13" t="s">
        <v>77</v>
      </c>
      <c r="C103" s="126"/>
      <c r="D103" s="126">
        <f t="shared" ref="D103:AQ103" si="59">+C107</f>
        <v>0</v>
      </c>
      <c r="E103" s="126">
        <f>+D107</f>
        <v>166500</v>
      </c>
      <c r="F103" s="126">
        <f t="shared" si="59"/>
        <v>333000</v>
      </c>
      <c r="G103" s="126">
        <f t="shared" si="59"/>
        <v>499500</v>
      </c>
      <c r="H103" s="126">
        <f t="shared" si="59"/>
        <v>666000</v>
      </c>
      <c r="I103" s="126">
        <f>+H107</f>
        <v>832500</v>
      </c>
      <c r="J103" s="126">
        <f t="shared" si="59"/>
        <v>999000</v>
      </c>
      <c r="K103" s="126">
        <f t="shared" si="59"/>
        <v>1165500</v>
      </c>
      <c r="L103" s="126">
        <f t="shared" si="59"/>
        <v>1332000</v>
      </c>
      <c r="M103" s="126">
        <f t="shared" si="59"/>
        <v>1498500</v>
      </c>
      <c r="N103" s="126">
        <f t="shared" si="59"/>
        <v>0</v>
      </c>
      <c r="O103" s="126">
        <f t="shared" si="59"/>
        <v>166500</v>
      </c>
      <c r="P103" s="126">
        <f t="shared" si="59"/>
        <v>333000</v>
      </c>
      <c r="Q103" s="126">
        <f t="shared" si="59"/>
        <v>499500</v>
      </c>
      <c r="R103" s="126">
        <f t="shared" si="59"/>
        <v>666000</v>
      </c>
      <c r="S103" s="126">
        <f t="shared" si="59"/>
        <v>832500</v>
      </c>
      <c r="T103" s="126">
        <f t="shared" si="59"/>
        <v>999000</v>
      </c>
      <c r="U103" s="126">
        <f t="shared" si="59"/>
        <v>1165500</v>
      </c>
      <c r="V103" s="126">
        <f t="shared" si="59"/>
        <v>1332000</v>
      </c>
      <c r="W103" s="126">
        <f t="shared" si="59"/>
        <v>1498500</v>
      </c>
      <c r="X103" s="126">
        <f t="shared" si="59"/>
        <v>0</v>
      </c>
      <c r="Y103" s="126">
        <f t="shared" si="59"/>
        <v>166500</v>
      </c>
      <c r="Z103" s="126">
        <f t="shared" si="59"/>
        <v>333000</v>
      </c>
      <c r="AA103" s="126">
        <f t="shared" si="59"/>
        <v>499500</v>
      </c>
      <c r="AB103" s="126">
        <f t="shared" si="59"/>
        <v>666000</v>
      </c>
      <c r="AC103" s="126">
        <f t="shared" si="59"/>
        <v>0</v>
      </c>
      <c r="AD103" s="126">
        <f t="shared" si="59"/>
        <v>0</v>
      </c>
      <c r="AE103" s="126">
        <f t="shared" si="59"/>
        <v>0</v>
      </c>
      <c r="AF103" s="126">
        <f t="shared" si="59"/>
        <v>0</v>
      </c>
      <c r="AG103" s="126">
        <f t="shared" si="59"/>
        <v>0</v>
      </c>
      <c r="AH103" s="126">
        <f t="shared" si="59"/>
        <v>0</v>
      </c>
      <c r="AI103" s="126">
        <f t="shared" si="59"/>
        <v>0</v>
      </c>
      <c r="AJ103" s="126">
        <f t="shared" si="59"/>
        <v>0</v>
      </c>
      <c r="AK103" s="126">
        <f t="shared" si="59"/>
        <v>0</v>
      </c>
      <c r="AL103" s="126">
        <f t="shared" si="59"/>
        <v>0</v>
      </c>
      <c r="AM103" s="126">
        <f t="shared" si="59"/>
        <v>0</v>
      </c>
      <c r="AN103" s="126">
        <f t="shared" si="59"/>
        <v>0</v>
      </c>
      <c r="AO103" s="126">
        <f t="shared" si="59"/>
        <v>0</v>
      </c>
      <c r="AP103" s="126">
        <f t="shared" si="59"/>
        <v>0</v>
      </c>
      <c r="AQ103" s="126">
        <f t="shared" si="59"/>
        <v>0</v>
      </c>
      <c r="AR103" s="36"/>
    </row>
    <row r="104" spans="1:44">
      <c r="A104" s="36"/>
      <c r="B104" s="13" t="s">
        <v>82</v>
      </c>
      <c r="C104" s="126">
        <v>0</v>
      </c>
      <c r="D104" s="126">
        <f>$C$24*IF(D35&lt;=$C$17, 1, 0)</f>
        <v>166500</v>
      </c>
      <c r="E104" s="126">
        <f t="shared" ref="E104:AQ104" si="60">$C$24*IF(E35&lt;=$C$17, 1, 0)</f>
        <v>166500</v>
      </c>
      <c r="F104" s="126">
        <f t="shared" si="60"/>
        <v>166500</v>
      </c>
      <c r="G104" s="126">
        <f t="shared" si="60"/>
        <v>166500</v>
      </c>
      <c r="H104" s="126">
        <f t="shared" si="60"/>
        <v>166500</v>
      </c>
      <c r="I104" s="126">
        <f t="shared" si="60"/>
        <v>166500</v>
      </c>
      <c r="J104" s="126">
        <f t="shared" si="60"/>
        <v>166500</v>
      </c>
      <c r="K104" s="126">
        <f t="shared" si="60"/>
        <v>166500</v>
      </c>
      <c r="L104" s="126">
        <f t="shared" si="60"/>
        <v>166500</v>
      </c>
      <c r="M104" s="126">
        <f t="shared" si="60"/>
        <v>166500</v>
      </c>
      <c r="N104" s="126">
        <f t="shared" si="60"/>
        <v>166500</v>
      </c>
      <c r="O104" s="126">
        <f t="shared" si="60"/>
        <v>166500</v>
      </c>
      <c r="P104" s="126">
        <f t="shared" si="60"/>
        <v>166500</v>
      </c>
      <c r="Q104" s="126">
        <f t="shared" si="60"/>
        <v>166500</v>
      </c>
      <c r="R104" s="126">
        <f t="shared" si="60"/>
        <v>166500</v>
      </c>
      <c r="S104" s="126">
        <f t="shared" si="60"/>
        <v>166500</v>
      </c>
      <c r="T104" s="126">
        <f t="shared" si="60"/>
        <v>166500</v>
      </c>
      <c r="U104" s="126">
        <f t="shared" si="60"/>
        <v>166500</v>
      </c>
      <c r="V104" s="126">
        <f t="shared" si="60"/>
        <v>166500</v>
      </c>
      <c r="W104" s="126">
        <f t="shared" si="60"/>
        <v>166500</v>
      </c>
      <c r="X104" s="126">
        <f t="shared" si="60"/>
        <v>166500</v>
      </c>
      <c r="Y104" s="126">
        <f t="shared" si="60"/>
        <v>166500</v>
      </c>
      <c r="Z104" s="126">
        <f t="shared" si="60"/>
        <v>166500</v>
      </c>
      <c r="AA104" s="126">
        <f t="shared" si="60"/>
        <v>166500</v>
      </c>
      <c r="AB104" s="126">
        <f t="shared" si="60"/>
        <v>166500</v>
      </c>
      <c r="AC104" s="126">
        <f t="shared" si="60"/>
        <v>0</v>
      </c>
      <c r="AD104" s="126">
        <f t="shared" si="60"/>
        <v>0</v>
      </c>
      <c r="AE104" s="126">
        <f t="shared" si="60"/>
        <v>0</v>
      </c>
      <c r="AF104" s="126">
        <f t="shared" si="60"/>
        <v>0</v>
      </c>
      <c r="AG104" s="126">
        <f t="shared" si="60"/>
        <v>0</v>
      </c>
      <c r="AH104" s="126">
        <f t="shared" si="60"/>
        <v>0</v>
      </c>
      <c r="AI104" s="126">
        <f t="shared" si="60"/>
        <v>0</v>
      </c>
      <c r="AJ104" s="126">
        <f t="shared" si="60"/>
        <v>0</v>
      </c>
      <c r="AK104" s="126">
        <f t="shared" si="60"/>
        <v>0</v>
      </c>
      <c r="AL104" s="126">
        <f t="shared" si="60"/>
        <v>0</v>
      </c>
      <c r="AM104" s="126">
        <f t="shared" si="60"/>
        <v>0</v>
      </c>
      <c r="AN104" s="126">
        <f t="shared" si="60"/>
        <v>0</v>
      </c>
      <c r="AO104" s="126">
        <f t="shared" si="60"/>
        <v>0</v>
      </c>
      <c r="AP104" s="126">
        <f t="shared" si="60"/>
        <v>0</v>
      </c>
      <c r="AQ104" s="126">
        <f t="shared" si="60"/>
        <v>0</v>
      </c>
      <c r="AR104" s="36"/>
    </row>
    <row r="105" spans="1:44">
      <c r="A105" s="36"/>
      <c r="B105" s="13" t="s">
        <v>83</v>
      </c>
      <c r="C105" s="126">
        <f>+-(MAX(0,C37))</f>
        <v>0</v>
      </c>
      <c r="D105" s="127">
        <f t="shared" ref="D105:AQ105" si="61">-IF(OR(D$102=$C$25, D$102= 2*$C$25, D$102=3*$C$25), 1, 0)*$C$23*IF(D102&lt;=$C$17, 1, 0)</f>
        <v>0</v>
      </c>
      <c r="E105" s="127">
        <f t="shared" si="61"/>
        <v>0</v>
      </c>
      <c r="F105" s="127">
        <f t="shared" si="61"/>
        <v>0</v>
      </c>
      <c r="G105" s="127">
        <f t="shared" si="61"/>
        <v>0</v>
      </c>
      <c r="H105" s="127">
        <f t="shared" si="61"/>
        <v>0</v>
      </c>
      <c r="I105" s="127">
        <f t="shared" si="61"/>
        <v>0</v>
      </c>
      <c r="J105" s="127">
        <f t="shared" si="61"/>
        <v>0</v>
      </c>
      <c r="K105" s="127">
        <f t="shared" si="61"/>
        <v>0</v>
      </c>
      <c r="L105" s="127">
        <f t="shared" si="61"/>
        <v>0</v>
      </c>
      <c r="M105" s="127">
        <f t="shared" si="61"/>
        <v>-1665000</v>
      </c>
      <c r="N105" s="127">
        <f t="shared" si="61"/>
        <v>0</v>
      </c>
      <c r="O105" s="127">
        <f t="shared" si="61"/>
        <v>0</v>
      </c>
      <c r="P105" s="127">
        <f t="shared" si="61"/>
        <v>0</v>
      </c>
      <c r="Q105" s="127">
        <f t="shared" si="61"/>
        <v>0</v>
      </c>
      <c r="R105" s="127">
        <f t="shared" si="61"/>
        <v>0</v>
      </c>
      <c r="S105" s="127">
        <f t="shared" si="61"/>
        <v>0</v>
      </c>
      <c r="T105" s="127">
        <f t="shared" si="61"/>
        <v>0</v>
      </c>
      <c r="U105" s="127">
        <f t="shared" si="61"/>
        <v>0</v>
      </c>
      <c r="V105" s="127">
        <f t="shared" si="61"/>
        <v>0</v>
      </c>
      <c r="W105" s="127">
        <f t="shared" si="61"/>
        <v>-1665000</v>
      </c>
      <c r="X105" s="127">
        <f t="shared" si="61"/>
        <v>0</v>
      </c>
      <c r="Y105" s="127">
        <f t="shared" si="61"/>
        <v>0</v>
      </c>
      <c r="Z105" s="127">
        <f t="shared" si="61"/>
        <v>0</v>
      </c>
      <c r="AA105" s="127">
        <f t="shared" si="61"/>
        <v>0</v>
      </c>
      <c r="AB105" s="127">
        <f t="shared" si="61"/>
        <v>0</v>
      </c>
      <c r="AC105" s="127">
        <f t="shared" si="61"/>
        <v>0</v>
      </c>
      <c r="AD105" s="127">
        <f t="shared" si="61"/>
        <v>0</v>
      </c>
      <c r="AE105" s="127">
        <f t="shared" si="61"/>
        <v>0</v>
      </c>
      <c r="AF105" s="127">
        <f t="shared" si="61"/>
        <v>0</v>
      </c>
      <c r="AG105" s="127">
        <f t="shared" si="61"/>
        <v>0</v>
      </c>
      <c r="AH105" s="127">
        <f t="shared" si="61"/>
        <v>0</v>
      </c>
      <c r="AI105" s="127">
        <f t="shared" si="61"/>
        <v>0</v>
      </c>
      <c r="AJ105" s="127">
        <f t="shared" si="61"/>
        <v>0</v>
      </c>
      <c r="AK105" s="127">
        <f t="shared" si="61"/>
        <v>0</v>
      </c>
      <c r="AL105" s="127">
        <f t="shared" si="61"/>
        <v>0</v>
      </c>
      <c r="AM105" s="127">
        <f t="shared" si="61"/>
        <v>0</v>
      </c>
      <c r="AN105" s="127">
        <f t="shared" si="61"/>
        <v>0</v>
      </c>
      <c r="AO105" s="127">
        <f t="shared" si="61"/>
        <v>0</v>
      </c>
      <c r="AP105" s="127">
        <f t="shared" si="61"/>
        <v>0</v>
      </c>
      <c r="AQ105" s="127">
        <f t="shared" si="61"/>
        <v>0</v>
      </c>
      <c r="AR105" s="36"/>
    </row>
    <row r="106" spans="1:44">
      <c r="A106" s="36"/>
      <c r="B106" s="13" t="s">
        <v>84</v>
      </c>
      <c r="C106" s="126"/>
      <c r="D106" s="127">
        <f>-IF(D102=$C$17, D103+D104+D105, 0)</f>
        <v>0</v>
      </c>
      <c r="E106" s="127">
        <f t="shared" ref="E106:AQ106" si="62">-IF(E102=$C$17, E103+E104+E105, 0)</f>
        <v>0</v>
      </c>
      <c r="F106" s="127">
        <f t="shared" si="62"/>
        <v>0</v>
      </c>
      <c r="G106" s="127">
        <f t="shared" si="62"/>
        <v>0</v>
      </c>
      <c r="H106" s="127">
        <f t="shared" si="62"/>
        <v>0</v>
      </c>
      <c r="I106" s="127">
        <f t="shared" si="62"/>
        <v>0</v>
      </c>
      <c r="J106" s="127">
        <f t="shared" si="62"/>
        <v>0</v>
      </c>
      <c r="K106" s="127">
        <f t="shared" si="62"/>
        <v>0</v>
      </c>
      <c r="L106" s="127">
        <f t="shared" si="62"/>
        <v>0</v>
      </c>
      <c r="M106" s="127">
        <f t="shared" si="62"/>
        <v>0</v>
      </c>
      <c r="N106" s="127">
        <f t="shared" si="62"/>
        <v>0</v>
      </c>
      <c r="O106" s="127">
        <f t="shared" si="62"/>
        <v>0</v>
      </c>
      <c r="P106" s="127">
        <f t="shared" si="62"/>
        <v>0</v>
      </c>
      <c r="Q106" s="127">
        <f t="shared" si="62"/>
        <v>0</v>
      </c>
      <c r="R106" s="127">
        <f t="shared" si="62"/>
        <v>0</v>
      </c>
      <c r="S106" s="127">
        <f t="shared" si="62"/>
        <v>0</v>
      </c>
      <c r="T106" s="127">
        <f t="shared" si="62"/>
        <v>0</v>
      </c>
      <c r="U106" s="127">
        <f t="shared" si="62"/>
        <v>0</v>
      </c>
      <c r="V106" s="127">
        <f t="shared" si="62"/>
        <v>0</v>
      </c>
      <c r="W106" s="127">
        <f t="shared" si="62"/>
        <v>0</v>
      </c>
      <c r="X106" s="127">
        <f t="shared" si="62"/>
        <v>0</v>
      </c>
      <c r="Y106" s="127">
        <f t="shared" si="62"/>
        <v>0</v>
      </c>
      <c r="Z106" s="127">
        <f t="shared" si="62"/>
        <v>0</v>
      </c>
      <c r="AA106" s="127">
        <f t="shared" si="62"/>
        <v>0</v>
      </c>
      <c r="AB106" s="127">
        <f t="shared" si="62"/>
        <v>-832500</v>
      </c>
      <c r="AC106" s="127">
        <f t="shared" si="62"/>
        <v>0</v>
      </c>
      <c r="AD106" s="127">
        <f t="shared" si="62"/>
        <v>0</v>
      </c>
      <c r="AE106" s="127">
        <f t="shared" si="62"/>
        <v>0</v>
      </c>
      <c r="AF106" s="127">
        <f t="shared" si="62"/>
        <v>0</v>
      </c>
      <c r="AG106" s="127">
        <f t="shared" si="62"/>
        <v>0</v>
      </c>
      <c r="AH106" s="127">
        <f t="shared" si="62"/>
        <v>0</v>
      </c>
      <c r="AI106" s="127">
        <f t="shared" si="62"/>
        <v>0</v>
      </c>
      <c r="AJ106" s="127">
        <f t="shared" si="62"/>
        <v>0</v>
      </c>
      <c r="AK106" s="127">
        <f t="shared" si="62"/>
        <v>0</v>
      </c>
      <c r="AL106" s="127">
        <f t="shared" si="62"/>
        <v>0</v>
      </c>
      <c r="AM106" s="127">
        <f t="shared" si="62"/>
        <v>0</v>
      </c>
      <c r="AN106" s="127">
        <f t="shared" si="62"/>
        <v>0</v>
      </c>
      <c r="AO106" s="127">
        <f t="shared" si="62"/>
        <v>0</v>
      </c>
      <c r="AP106" s="127">
        <f t="shared" si="62"/>
        <v>0</v>
      </c>
      <c r="AQ106" s="127">
        <f t="shared" si="62"/>
        <v>0</v>
      </c>
      <c r="AR106" s="36"/>
    </row>
    <row r="107" spans="1:44">
      <c r="A107" s="36"/>
      <c r="B107" s="13" t="s">
        <v>80</v>
      </c>
      <c r="C107" s="126">
        <f>SUM(C103:C105)</f>
        <v>0</v>
      </c>
      <c r="D107" s="126">
        <f>SUM(D103:D106)</f>
        <v>166500</v>
      </c>
      <c r="E107" s="126">
        <f t="shared" ref="E107:AQ107" si="63">SUM(E103:E106)</f>
        <v>333000</v>
      </c>
      <c r="F107" s="126">
        <f t="shared" si="63"/>
        <v>499500</v>
      </c>
      <c r="G107" s="126">
        <f t="shared" si="63"/>
        <v>666000</v>
      </c>
      <c r="H107" s="126">
        <f t="shared" si="63"/>
        <v>832500</v>
      </c>
      <c r="I107" s="126">
        <f t="shared" si="63"/>
        <v>999000</v>
      </c>
      <c r="J107" s="126">
        <f t="shared" si="63"/>
        <v>1165500</v>
      </c>
      <c r="K107" s="126">
        <f t="shared" si="63"/>
        <v>1332000</v>
      </c>
      <c r="L107" s="126">
        <f t="shared" si="63"/>
        <v>1498500</v>
      </c>
      <c r="M107" s="126">
        <f t="shared" si="63"/>
        <v>0</v>
      </c>
      <c r="N107" s="126">
        <f t="shared" si="63"/>
        <v>166500</v>
      </c>
      <c r="O107" s="126">
        <f t="shared" si="63"/>
        <v>333000</v>
      </c>
      <c r="P107" s="126">
        <f t="shared" si="63"/>
        <v>499500</v>
      </c>
      <c r="Q107" s="126">
        <f t="shared" si="63"/>
        <v>666000</v>
      </c>
      <c r="R107" s="126">
        <f t="shared" si="63"/>
        <v>832500</v>
      </c>
      <c r="S107" s="126">
        <f t="shared" si="63"/>
        <v>999000</v>
      </c>
      <c r="T107" s="126">
        <f t="shared" si="63"/>
        <v>1165500</v>
      </c>
      <c r="U107" s="126">
        <f t="shared" si="63"/>
        <v>1332000</v>
      </c>
      <c r="V107" s="126">
        <f t="shared" si="63"/>
        <v>1498500</v>
      </c>
      <c r="W107" s="126">
        <f t="shared" si="63"/>
        <v>0</v>
      </c>
      <c r="X107" s="126">
        <f t="shared" si="63"/>
        <v>166500</v>
      </c>
      <c r="Y107" s="126">
        <f t="shared" si="63"/>
        <v>333000</v>
      </c>
      <c r="Z107" s="126">
        <f t="shared" si="63"/>
        <v>499500</v>
      </c>
      <c r="AA107" s="126">
        <f t="shared" si="63"/>
        <v>666000</v>
      </c>
      <c r="AB107" s="126">
        <f t="shared" si="63"/>
        <v>0</v>
      </c>
      <c r="AC107" s="126">
        <f t="shared" si="63"/>
        <v>0</v>
      </c>
      <c r="AD107" s="126">
        <f t="shared" si="63"/>
        <v>0</v>
      </c>
      <c r="AE107" s="126">
        <f t="shared" si="63"/>
        <v>0</v>
      </c>
      <c r="AF107" s="126">
        <f t="shared" si="63"/>
        <v>0</v>
      </c>
      <c r="AG107" s="126">
        <f t="shared" si="63"/>
        <v>0</v>
      </c>
      <c r="AH107" s="126">
        <f t="shared" si="63"/>
        <v>0</v>
      </c>
      <c r="AI107" s="126">
        <f t="shared" si="63"/>
        <v>0</v>
      </c>
      <c r="AJ107" s="126">
        <f t="shared" si="63"/>
        <v>0</v>
      </c>
      <c r="AK107" s="126">
        <f t="shared" si="63"/>
        <v>0</v>
      </c>
      <c r="AL107" s="126">
        <f t="shared" si="63"/>
        <v>0</v>
      </c>
      <c r="AM107" s="126">
        <f t="shared" si="63"/>
        <v>0</v>
      </c>
      <c r="AN107" s="126">
        <f t="shared" si="63"/>
        <v>0</v>
      </c>
      <c r="AO107" s="126">
        <f t="shared" si="63"/>
        <v>0</v>
      </c>
      <c r="AP107" s="126">
        <f t="shared" si="63"/>
        <v>0</v>
      </c>
      <c r="AQ107" s="126">
        <f t="shared" si="63"/>
        <v>0</v>
      </c>
      <c r="AR107" s="36"/>
    </row>
    <row r="108" spans="1:44">
      <c r="A108" s="36"/>
      <c r="B108" s="13" t="s">
        <v>85</v>
      </c>
      <c r="C108" s="85">
        <f>+H22</f>
        <v>5.5E-2</v>
      </c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36"/>
    </row>
    <row r="109" spans="1:44">
      <c r="A109" s="36"/>
      <c r="B109" s="13" t="s">
        <v>86</v>
      </c>
      <c r="C109" s="126">
        <f>+C103*$C$140</f>
        <v>0</v>
      </c>
      <c r="D109" s="126">
        <f>-D104-D106+$C$108*D103</f>
        <v>-166500</v>
      </c>
      <c r="E109" s="126">
        <f>-E104-E106+$C$108*E103</f>
        <v>-157342.5</v>
      </c>
      <c r="F109" s="126">
        <f t="shared" ref="F109:AQ109" si="64">-F104-F106+$C$108*F103</f>
        <v>-148185</v>
      </c>
      <c r="G109" s="126">
        <f t="shared" si="64"/>
        <v>-139027.5</v>
      </c>
      <c r="H109" s="126">
        <f t="shared" si="64"/>
        <v>-129870</v>
      </c>
      <c r="I109" s="126">
        <f t="shared" si="64"/>
        <v>-120712.5</v>
      </c>
      <c r="J109" s="126">
        <f t="shared" si="64"/>
        <v>-111555</v>
      </c>
      <c r="K109" s="126">
        <f t="shared" si="64"/>
        <v>-102397.5</v>
      </c>
      <c r="L109" s="126">
        <f t="shared" si="64"/>
        <v>-93240</v>
      </c>
      <c r="M109" s="126">
        <f t="shared" si="64"/>
        <v>-84082.5</v>
      </c>
      <c r="N109" s="126">
        <f t="shared" si="64"/>
        <v>-166500</v>
      </c>
      <c r="O109" s="126">
        <f t="shared" si="64"/>
        <v>-157342.5</v>
      </c>
      <c r="P109" s="126">
        <f t="shared" si="64"/>
        <v>-148185</v>
      </c>
      <c r="Q109" s="126">
        <f t="shared" si="64"/>
        <v>-139027.5</v>
      </c>
      <c r="R109" s="126">
        <f t="shared" si="64"/>
        <v>-129870</v>
      </c>
      <c r="S109" s="126">
        <f t="shared" si="64"/>
        <v>-120712.5</v>
      </c>
      <c r="T109" s="126">
        <f t="shared" si="64"/>
        <v>-111555</v>
      </c>
      <c r="U109" s="126">
        <f t="shared" si="64"/>
        <v>-102397.5</v>
      </c>
      <c r="V109" s="126">
        <f t="shared" si="64"/>
        <v>-93240</v>
      </c>
      <c r="W109" s="126">
        <f t="shared" si="64"/>
        <v>-84082.5</v>
      </c>
      <c r="X109" s="126">
        <f t="shared" si="64"/>
        <v>-166500</v>
      </c>
      <c r="Y109" s="126">
        <f t="shared" si="64"/>
        <v>-157342.5</v>
      </c>
      <c r="Z109" s="126">
        <f t="shared" si="64"/>
        <v>-148185</v>
      </c>
      <c r="AA109" s="126">
        <f t="shared" si="64"/>
        <v>-139027.5</v>
      </c>
      <c r="AB109" s="126">
        <f t="shared" si="64"/>
        <v>702630</v>
      </c>
      <c r="AC109" s="126">
        <f t="shared" si="64"/>
        <v>0</v>
      </c>
      <c r="AD109" s="126">
        <f t="shared" si="64"/>
        <v>0</v>
      </c>
      <c r="AE109" s="126">
        <f t="shared" si="64"/>
        <v>0</v>
      </c>
      <c r="AF109" s="126">
        <f t="shared" si="64"/>
        <v>0</v>
      </c>
      <c r="AG109" s="126">
        <f t="shared" si="64"/>
        <v>0</v>
      </c>
      <c r="AH109" s="126">
        <f t="shared" si="64"/>
        <v>0</v>
      </c>
      <c r="AI109" s="126">
        <f t="shared" si="64"/>
        <v>0</v>
      </c>
      <c r="AJ109" s="126">
        <f t="shared" si="64"/>
        <v>0</v>
      </c>
      <c r="AK109" s="126">
        <f t="shared" si="64"/>
        <v>0</v>
      </c>
      <c r="AL109" s="126">
        <f t="shared" si="64"/>
        <v>0</v>
      </c>
      <c r="AM109" s="126">
        <f t="shared" si="64"/>
        <v>0</v>
      </c>
      <c r="AN109" s="126">
        <f t="shared" si="64"/>
        <v>0</v>
      </c>
      <c r="AO109" s="126">
        <f t="shared" si="64"/>
        <v>0</v>
      </c>
      <c r="AP109" s="126">
        <f t="shared" si="64"/>
        <v>0</v>
      </c>
      <c r="AQ109" s="126">
        <f t="shared" si="64"/>
        <v>0</v>
      </c>
      <c r="AR109" s="36"/>
    </row>
    <row r="110" spans="1:44">
      <c r="A110" s="36"/>
      <c r="B110" s="13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6"/>
      <c r="AF110" s="126"/>
      <c r="AG110" s="126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36"/>
    </row>
    <row r="111" spans="1:44">
      <c r="A111" s="36"/>
      <c r="B111" s="104" t="s">
        <v>87</v>
      </c>
      <c r="C111" s="128">
        <f t="shared" ref="C111:AQ111" si="65">C92</f>
        <v>0</v>
      </c>
      <c r="D111" s="128">
        <f t="shared" si="65"/>
        <v>1</v>
      </c>
      <c r="E111" s="128">
        <f t="shared" si="65"/>
        <v>2</v>
      </c>
      <c r="F111" s="128">
        <f t="shared" si="65"/>
        <v>3</v>
      </c>
      <c r="G111" s="128">
        <f t="shared" si="65"/>
        <v>4</v>
      </c>
      <c r="H111" s="128">
        <f t="shared" si="65"/>
        <v>5</v>
      </c>
      <c r="I111" s="128">
        <f t="shared" si="65"/>
        <v>6</v>
      </c>
      <c r="J111" s="128">
        <f t="shared" si="65"/>
        <v>7</v>
      </c>
      <c r="K111" s="128">
        <f t="shared" si="65"/>
        <v>8</v>
      </c>
      <c r="L111" s="128">
        <f t="shared" si="65"/>
        <v>9</v>
      </c>
      <c r="M111" s="128">
        <f t="shared" si="65"/>
        <v>10</v>
      </c>
      <c r="N111" s="128">
        <f t="shared" si="65"/>
        <v>11</v>
      </c>
      <c r="O111" s="128">
        <f t="shared" si="65"/>
        <v>12</v>
      </c>
      <c r="P111" s="128">
        <f t="shared" si="65"/>
        <v>13</v>
      </c>
      <c r="Q111" s="128">
        <f t="shared" si="65"/>
        <v>14</v>
      </c>
      <c r="R111" s="128">
        <f t="shared" si="65"/>
        <v>15</v>
      </c>
      <c r="S111" s="128">
        <f t="shared" si="65"/>
        <v>16</v>
      </c>
      <c r="T111" s="128">
        <f t="shared" si="65"/>
        <v>17</v>
      </c>
      <c r="U111" s="128">
        <f t="shared" si="65"/>
        <v>18</v>
      </c>
      <c r="V111" s="128">
        <f t="shared" si="65"/>
        <v>19</v>
      </c>
      <c r="W111" s="128">
        <f t="shared" si="65"/>
        <v>20</v>
      </c>
      <c r="X111" s="128">
        <f t="shared" si="65"/>
        <v>21</v>
      </c>
      <c r="Y111" s="128">
        <f t="shared" si="65"/>
        <v>22</v>
      </c>
      <c r="Z111" s="128">
        <f t="shared" si="65"/>
        <v>23</v>
      </c>
      <c r="AA111" s="128">
        <f t="shared" si="65"/>
        <v>24</v>
      </c>
      <c r="AB111" s="128">
        <f t="shared" si="65"/>
        <v>25</v>
      </c>
      <c r="AC111" s="128">
        <f t="shared" si="65"/>
        <v>26</v>
      </c>
      <c r="AD111" s="128">
        <f t="shared" si="65"/>
        <v>27</v>
      </c>
      <c r="AE111" s="128">
        <f t="shared" si="65"/>
        <v>28</v>
      </c>
      <c r="AF111" s="128">
        <f t="shared" si="65"/>
        <v>29</v>
      </c>
      <c r="AG111" s="128">
        <f t="shared" si="65"/>
        <v>30</v>
      </c>
      <c r="AH111" s="128">
        <f t="shared" si="65"/>
        <v>31</v>
      </c>
      <c r="AI111" s="128">
        <f t="shared" si="65"/>
        <v>32</v>
      </c>
      <c r="AJ111" s="128">
        <f t="shared" si="65"/>
        <v>33</v>
      </c>
      <c r="AK111" s="128">
        <f t="shared" si="65"/>
        <v>34</v>
      </c>
      <c r="AL111" s="128">
        <f t="shared" si="65"/>
        <v>35</v>
      </c>
      <c r="AM111" s="128">
        <f t="shared" si="65"/>
        <v>36</v>
      </c>
      <c r="AN111" s="128">
        <f t="shared" si="65"/>
        <v>37</v>
      </c>
      <c r="AO111" s="128">
        <f t="shared" si="65"/>
        <v>38</v>
      </c>
      <c r="AP111" s="128">
        <f t="shared" si="65"/>
        <v>39</v>
      </c>
      <c r="AQ111" s="128">
        <f t="shared" si="65"/>
        <v>40</v>
      </c>
      <c r="AR111" s="36"/>
    </row>
    <row r="112" spans="1:44">
      <c r="A112" s="36"/>
      <c r="B112" s="13" t="s">
        <v>88</v>
      </c>
      <c r="C112" s="71"/>
      <c r="D112" s="125">
        <f t="shared" ref="D112:AQ112" si="66">D50*D93</f>
        <v>1481977.7520000001</v>
      </c>
      <c r="E112" s="125">
        <f t="shared" si="66"/>
        <v>1417999.59108738</v>
      </c>
      <c r="F112" s="125">
        <f t="shared" si="66"/>
        <v>1386544.0937571973</v>
      </c>
      <c r="G112" s="125">
        <f t="shared" si="66"/>
        <v>1356191.3233605092</v>
      </c>
      <c r="H112" s="125">
        <f t="shared" si="66"/>
        <v>1326909.9642367125</v>
      </c>
      <c r="I112" s="125">
        <f t="shared" si="66"/>
        <v>1298669.5168556711</v>
      </c>
      <c r="J112" s="125">
        <f t="shared" si="66"/>
        <v>1271440.2743911729</v>
      </c>
      <c r="K112" s="125">
        <f t="shared" si="66"/>
        <v>1245193.2999078338</v>
      </c>
      <c r="L112" s="125">
        <f t="shared" si="66"/>
        <v>1219900.4041440289</v>
      </c>
      <c r="M112" s="125">
        <f t="shared" si="66"/>
        <v>1195534.1238739097</v>
      </c>
      <c r="N112" s="125">
        <f t="shared" si="66"/>
        <v>1080492.7008319949</v>
      </c>
      <c r="O112" s="125">
        <f t="shared" si="66"/>
        <v>1057900.0611842789</v>
      </c>
      <c r="P112" s="125">
        <f t="shared" si="66"/>
        <v>1036155.7955302133</v>
      </c>
      <c r="Q112" s="125">
        <f t="shared" si="66"/>
        <v>1015235.1394203316</v>
      </c>
      <c r="R112" s="125">
        <f t="shared" si="66"/>
        <v>995113.95437469217</v>
      </c>
      <c r="S112" s="125">
        <f t="shared" si="66"/>
        <v>0</v>
      </c>
      <c r="T112" s="125">
        <f t="shared" si="66"/>
        <v>0</v>
      </c>
      <c r="U112" s="125">
        <f t="shared" si="66"/>
        <v>0</v>
      </c>
      <c r="V112" s="125">
        <f t="shared" si="66"/>
        <v>0</v>
      </c>
      <c r="W112" s="125">
        <f t="shared" si="66"/>
        <v>0</v>
      </c>
      <c r="X112" s="125">
        <f t="shared" si="66"/>
        <v>0</v>
      </c>
      <c r="Y112" s="125">
        <f t="shared" si="66"/>
        <v>0</v>
      </c>
      <c r="Z112" s="125">
        <f t="shared" si="66"/>
        <v>0</v>
      </c>
      <c r="AA112" s="125">
        <f t="shared" si="66"/>
        <v>0</v>
      </c>
      <c r="AB112" s="125">
        <f t="shared" si="66"/>
        <v>0</v>
      </c>
      <c r="AC112" s="125">
        <f t="shared" si="66"/>
        <v>0</v>
      </c>
      <c r="AD112" s="125">
        <f t="shared" si="66"/>
        <v>0</v>
      </c>
      <c r="AE112" s="125">
        <f t="shared" si="66"/>
        <v>0</v>
      </c>
      <c r="AF112" s="125">
        <f t="shared" si="66"/>
        <v>0</v>
      </c>
      <c r="AG112" s="125">
        <f t="shared" si="66"/>
        <v>0</v>
      </c>
      <c r="AH112" s="125">
        <f t="shared" si="66"/>
        <v>0</v>
      </c>
      <c r="AI112" s="125">
        <f t="shared" si="66"/>
        <v>0</v>
      </c>
      <c r="AJ112" s="125">
        <f t="shared" si="66"/>
        <v>0</v>
      </c>
      <c r="AK112" s="125">
        <f t="shared" si="66"/>
        <v>0</v>
      </c>
      <c r="AL112" s="125">
        <f t="shared" si="66"/>
        <v>0</v>
      </c>
      <c r="AM112" s="125">
        <f t="shared" si="66"/>
        <v>0</v>
      </c>
      <c r="AN112" s="125">
        <f t="shared" si="66"/>
        <v>0</v>
      </c>
      <c r="AO112" s="125">
        <f t="shared" si="66"/>
        <v>0</v>
      </c>
      <c r="AP112" s="125">
        <f t="shared" si="66"/>
        <v>0</v>
      </c>
      <c r="AQ112" s="125">
        <f t="shared" si="66"/>
        <v>0</v>
      </c>
      <c r="AR112" s="36"/>
    </row>
    <row r="113" spans="1:44">
      <c r="A113" s="36"/>
      <c r="B113" s="13" t="s">
        <v>89</v>
      </c>
      <c r="C113" s="71"/>
      <c r="D113" s="129">
        <f t="shared" ref="D113:AQ113" si="67">IF(D95=0, 0, D112/D95)</f>
        <v>2.0757424955570474</v>
      </c>
      <c r="E113" s="129">
        <f t="shared" si="67"/>
        <v>1.986131037345418</v>
      </c>
      <c r="F113" s="129">
        <f t="shared" si="67"/>
        <v>1.9420726751743094</v>
      </c>
      <c r="G113" s="129">
        <f t="shared" si="67"/>
        <v>1.8995588551893172</v>
      </c>
      <c r="H113" s="129">
        <f t="shared" si="67"/>
        <v>1.8585457148915594</v>
      </c>
      <c r="I113" s="129">
        <f t="shared" si="67"/>
        <v>1.818990534900996</v>
      </c>
      <c r="J113" s="129">
        <f t="shared" si="67"/>
        <v>1.7808517061438789</v>
      </c>
      <c r="K113" s="129">
        <f t="shared" si="67"/>
        <v>1.7440886978994283</v>
      </c>
      <c r="L113" s="129">
        <f t="shared" si="67"/>
        <v>1.7086620266813406</v>
      </c>
      <c r="M113" s="129">
        <f t="shared" si="67"/>
        <v>1.6745332259303967</v>
      </c>
      <c r="N113" s="129">
        <f t="shared" si="67"/>
        <v>1.5133996527474045</v>
      </c>
      <c r="O113" s="129">
        <f t="shared" si="67"/>
        <v>1.481755114129816</v>
      </c>
      <c r="P113" s="129">
        <f t="shared" si="67"/>
        <v>1.451298856475534</v>
      </c>
      <c r="Q113" s="129">
        <f t="shared" si="67"/>
        <v>1.4219961932853402</v>
      </c>
      <c r="R113" s="129">
        <f t="shared" si="67"/>
        <v>1.3938133148286056</v>
      </c>
      <c r="S113" s="129">
        <f t="shared" si="67"/>
        <v>0</v>
      </c>
      <c r="T113" s="129">
        <f t="shared" si="67"/>
        <v>0</v>
      </c>
      <c r="U113" s="129">
        <f t="shared" si="67"/>
        <v>0</v>
      </c>
      <c r="V113" s="129">
        <f t="shared" si="67"/>
        <v>0</v>
      </c>
      <c r="W113" s="129">
        <f t="shared" si="67"/>
        <v>0</v>
      </c>
      <c r="X113" s="129">
        <f t="shared" si="67"/>
        <v>0</v>
      </c>
      <c r="Y113" s="129">
        <f t="shared" si="67"/>
        <v>0</v>
      </c>
      <c r="Z113" s="129">
        <f t="shared" si="67"/>
        <v>0</v>
      </c>
      <c r="AA113" s="129">
        <f t="shared" si="67"/>
        <v>0</v>
      </c>
      <c r="AB113" s="129">
        <f t="shared" si="67"/>
        <v>0</v>
      </c>
      <c r="AC113" s="129">
        <f t="shared" si="67"/>
        <v>0</v>
      </c>
      <c r="AD113" s="129">
        <f t="shared" si="67"/>
        <v>0</v>
      </c>
      <c r="AE113" s="129">
        <f t="shared" si="67"/>
        <v>0</v>
      </c>
      <c r="AF113" s="129">
        <f t="shared" si="67"/>
        <v>0</v>
      </c>
      <c r="AG113" s="129">
        <f t="shared" si="67"/>
        <v>0</v>
      </c>
      <c r="AH113" s="129">
        <f t="shared" si="67"/>
        <v>0</v>
      </c>
      <c r="AI113" s="129">
        <f t="shared" si="67"/>
        <v>0</v>
      </c>
      <c r="AJ113" s="129">
        <f t="shared" si="67"/>
        <v>0</v>
      </c>
      <c r="AK113" s="129">
        <f t="shared" si="67"/>
        <v>0</v>
      </c>
      <c r="AL113" s="129">
        <f t="shared" si="67"/>
        <v>0</v>
      </c>
      <c r="AM113" s="129">
        <f t="shared" si="67"/>
        <v>0</v>
      </c>
      <c r="AN113" s="129">
        <f t="shared" si="67"/>
        <v>0</v>
      </c>
      <c r="AO113" s="129">
        <f t="shared" si="67"/>
        <v>0</v>
      </c>
      <c r="AP113" s="129">
        <f t="shared" si="67"/>
        <v>0</v>
      </c>
      <c r="AQ113" s="129">
        <f t="shared" si="67"/>
        <v>0</v>
      </c>
      <c r="AR113" s="36"/>
    </row>
    <row r="114" spans="1:44">
      <c r="A114" s="36"/>
      <c r="B114" s="13" t="s">
        <v>90</v>
      </c>
      <c r="C114" s="130">
        <f>SUM(D113:AQ113)/H19</f>
        <v>1.7167626734120265</v>
      </c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36"/>
    </row>
    <row r="115" spans="1:44">
      <c r="A115" s="36"/>
      <c r="B115" s="13" t="s">
        <v>91</v>
      </c>
      <c r="C115" s="130">
        <f>SUM(D112:AQ112)/SUM(D95:AQ95)</f>
        <v>1.716762673412026</v>
      </c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36"/>
    </row>
    <row r="116" spans="1:44">
      <c r="A116" s="36"/>
      <c r="B116" s="13" t="s">
        <v>92</v>
      </c>
      <c r="C116" s="130">
        <f>[1]Dashboard!H25</f>
        <v>1.4</v>
      </c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36"/>
    </row>
    <row r="117" spans="1:44">
      <c r="A117" s="36"/>
      <c r="B117" s="13"/>
      <c r="C117" s="126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36"/>
    </row>
    <row r="118" spans="1:44">
      <c r="A118" s="36"/>
      <c r="B118" s="117" t="s">
        <v>93</v>
      </c>
      <c r="C118" s="118">
        <f t="shared" ref="C118:AQ118" si="68">C92</f>
        <v>0</v>
      </c>
      <c r="D118" s="118">
        <f t="shared" si="68"/>
        <v>1</v>
      </c>
      <c r="E118" s="118">
        <f t="shared" si="68"/>
        <v>2</v>
      </c>
      <c r="F118" s="118">
        <f t="shared" si="68"/>
        <v>3</v>
      </c>
      <c r="G118" s="118">
        <f t="shared" si="68"/>
        <v>4</v>
      </c>
      <c r="H118" s="118">
        <f t="shared" si="68"/>
        <v>5</v>
      </c>
      <c r="I118" s="118">
        <f t="shared" si="68"/>
        <v>6</v>
      </c>
      <c r="J118" s="118">
        <f t="shared" si="68"/>
        <v>7</v>
      </c>
      <c r="K118" s="118">
        <f t="shared" si="68"/>
        <v>8</v>
      </c>
      <c r="L118" s="118">
        <f t="shared" si="68"/>
        <v>9</v>
      </c>
      <c r="M118" s="118">
        <f t="shared" si="68"/>
        <v>10</v>
      </c>
      <c r="N118" s="118">
        <f t="shared" si="68"/>
        <v>11</v>
      </c>
      <c r="O118" s="118">
        <f t="shared" si="68"/>
        <v>12</v>
      </c>
      <c r="P118" s="118">
        <f t="shared" si="68"/>
        <v>13</v>
      </c>
      <c r="Q118" s="118">
        <f t="shared" si="68"/>
        <v>14</v>
      </c>
      <c r="R118" s="118">
        <f t="shared" si="68"/>
        <v>15</v>
      </c>
      <c r="S118" s="118">
        <f t="shared" si="68"/>
        <v>16</v>
      </c>
      <c r="T118" s="118">
        <f t="shared" si="68"/>
        <v>17</v>
      </c>
      <c r="U118" s="118">
        <f t="shared" si="68"/>
        <v>18</v>
      </c>
      <c r="V118" s="118">
        <f t="shared" si="68"/>
        <v>19</v>
      </c>
      <c r="W118" s="118">
        <f t="shared" si="68"/>
        <v>20</v>
      </c>
      <c r="X118" s="118">
        <f t="shared" si="68"/>
        <v>21</v>
      </c>
      <c r="Y118" s="118">
        <f t="shared" si="68"/>
        <v>22</v>
      </c>
      <c r="Z118" s="118">
        <f t="shared" si="68"/>
        <v>23</v>
      </c>
      <c r="AA118" s="118">
        <f t="shared" si="68"/>
        <v>24</v>
      </c>
      <c r="AB118" s="118">
        <f t="shared" si="68"/>
        <v>25</v>
      </c>
      <c r="AC118" s="118">
        <f t="shared" si="68"/>
        <v>26</v>
      </c>
      <c r="AD118" s="118">
        <f t="shared" si="68"/>
        <v>27</v>
      </c>
      <c r="AE118" s="118">
        <f t="shared" si="68"/>
        <v>28</v>
      </c>
      <c r="AF118" s="118">
        <f t="shared" si="68"/>
        <v>29</v>
      </c>
      <c r="AG118" s="118">
        <f t="shared" si="68"/>
        <v>30</v>
      </c>
      <c r="AH118" s="118">
        <f t="shared" si="68"/>
        <v>31</v>
      </c>
      <c r="AI118" s="118">
        <f t="shared" si="68"/>
        <v>32</v>
      </c>
      <c r="AJ118" s="118">
        <f t="shared" si="68"/>
        <v>33</v>
      </c>
      <c r="AK118" s="118">
        <f t="shared" si="68"/>
        <v>34</v>
      </c>
      <c r="AL118" s="118">
        <f t="shared" si="68"/>
        <v>35</v>
      </c>
      <c r="AM118" s="118">
        <f t="shared" si="68"/>
        <v>36</v>
      </c>
      <c r="AN118" s="118">
        <f t="shared" si="68"/>
        <v>37</v>
      </c>
      <c r="AO118" s="118">
        <f t="shared" si="68"/>
        <v>38</v>
      </c>
      <c r="AP118" s="118">
        <f t="shared" si="68"/>
        <v>39</v>
      </c>
      <c r="AQ118" s="118">
        <f t="shared" si="68"/>
        <v>40</v>
      </c>
      <c r="AR118" s="36"/>
    </row>
    <row r="119" spans="1:44">
      <c r="A119" s="36"/>
      <c r="B119" s="13" t="s">
        <v>77</v>
      </c>
      <c r="C119" s="126"/>
      <c r="D119" s="126">
        <f t="shared" ref="D119:AQ119" si="69">+C122</f>
        <v>694630.8714506937</v>
      </c>
      <c r="E119" s="126">
        <f>+D122</f>
        <v>694630.8714506937</v>
      </c>
      <c r="F119" s="126">
        <f t="shared" si="69"/>
        <v>694630.8714506937</v>
      </c>
      <c r="G119" s="126">
        <f t="shared" si="69"/>
        <v>694630.8714506937</v>
      </c>
      <c r="H119" s="126">
        <f t="shared" si="69"/>
        <v>694630.8714506937</v>
      </c>
      <c r="I119" s="126">
        <f>+H122</f>
        <v>694630.8714506937</v>
      </c>
      <c r="J119" s="126">
        <f t="shared" si="69"/>
        <v>694630.8714506937</v>
      </c>
      <c r="K119" s="126">
        <f t="shared" si="69"/>
        <v>694630.8714506937</v>
      </c>
      <c r="L119" s="126">
        <f t="shared" si="69"/>
        <v>694630.8714506937</v>
      </c>
      <c r="M119" s="126">
        <f t="shared" si="69"/>
        <v>694630.8714506937</v>
      </c>
      <c r="N119" s="126">
        <f t="shared" si="69"/>
        <v>694630.8714506937</v>
      </c>
      <c r="O119" s="126">
        <f t="shared" si="69"/>
        <v>694630.8714506937</v>
      </c>
      <c r="P119" s="126">
        <f t="shared" si="69"/>
        <v>694630.8714506937</v>
      </c>
      <c r="Q119" s="126">
        <f t="shared" si="69"/>
        <v>694630.8714506937</v>
      </c>
      <c r="R119" s="126">
        <f t="shared" si="69"/>
        <v>694630.8714506937</v>
      </c>
      <c r="S119" s="126">
        <f t="shared" si="69"/>
        <v>0</v>
      </c>
      <c r="T119" s="126">
        <f t="shared" si="69"/>
        <v>0</v>
      </c>
      <c r="U119" s="126">
        <f t="shared" si="69"/>
        <v>0</v>
      </c>
      <c r="V119" s="126">
        <f t="shared" si="69"/>
        <v>0</v>
      </c>
      <c r="W119" s="126">
        <f t="shared" si="69"/>
        <v>0</v>
      </c>
      <c r="X119" s="126">
        <f t="shared" si="69"/>
        <v>0</v>
      </c>
      <c r="Y119" s="126">
        <f t="shared" si="69"/>
        <v>0</v>
      </c>
      <c r="Z119" s="126">
        <f t="shared" si="69"/>
        <v>0</v>
      </c>
      <c r="AA119" s="126">
        <f t="shared" si="69"/>
        <v>0</v>
      </c>
      <c r="AB119" s="126">
        <f t="shared" si="69"/>
        <v>0</v>
      </c>
      <c r="AC119" s="126">
        <f t="shared" si="69"/>
        <v>0</v>
      </c>
      <c r="AD119" s="126">
        <f t="shared" si="69"/>
        <v>0</v>
      </c>
      <c r="AE119" s="126">
        <f t="shared" si="69"/>
        <v>0</v>
      </c>
      <c r="AF119" s="126">
        <f t="shared" si="69"/>
        <v>0</v>
      </c>
      <c r="AG119" s="126">
        <f t="shared" si="69"/>
        <v>0</v>
      </c>
      <c r="AH119" s="126">
        <f t="shared" si="69"/>
        <v>0</v>
      </c>
      <c r="AI119" s="126">
        <f t="shared" si="69"/>
        <v>0</v>
      </c>
      <c r="AJ119" s="126">
        <f t="shared" si="69"/>
        <v>0</v>
      </c>
      <c r="AK119" s="126">
        <f t="shared" si="69"/>
        <v>0</v>
      </c>
      <c r="AL119" s="126">
        <f t="shared" si="69"/>
        <v>0</v>
      </c>
      <c r="AM119" s="126">
        <f t="shared" si="69"/>
        <v>0</v>
      </c>
      <c r="AN119" s="126">
        <f t="shared" si="69"/>
        <v>0</v>
      </c>
      <c r="AO119" s="126">
        <f t="shared" si="69"/>
        <v>0</v>
      </c>
      <c r="AP119" s="126">
        <f t="shared" si="69"/>
        <v>0</v>
      </c>
      <c r="AQ119" s="126">
        <f t="shared" si="69"/>
        <v>0</v>
      </c>
      <c r="AR119" s="36"/>
    </row>
    <row r="120" spans="1:44">
      <c r="A120" s="36"/>
      <c r="B120" s="13" t="s">
        <v>82</v>
      </c>
      <c r="C120" s="126">
        <f>C9</f>
        <v>694630.8714506937</v>
      </c>
      <c r="D120" s="126">
        <f t="shared" ref="D120:AQ120" si="70">+-(MIN(0,D54))</f>
        <v>0</v>
      </c>
      <c r="E120" s="126">
        <f t="shared" si="70"/>
        <v>0</v>
      </c>
      <c r="F120" s="126">
        <f t="shared" si="70"/>
        <v>0</v>
      </c>
      <c r="G120" s="126">
        <f t="shared" si="70"/>
        <v>0</v>
      </c>
      <c r="H120" s="126">
        <f t="shared" si="70"/>
        <v>0</v>
      </c>
      <c r="I120" s="126">
        <f t="shared" si="70"/>
        <v>0</v>
      </c>
      <c r="J120" s="126">
        <f t="shared" si="70"/>
        <v>0</v>
      </c>
      <c r="K120" s="126">
        <f t="shared" si="70"/>
        <v>0</v>
      </c>
      <c r="L120" s="126">
        <f t="shared" si="70"/>
        <v>0</v>
      </c>
      <c r="M120" s="126">
        <f t="shared" si="70"/>
        <v>0</v>
      </c>
      <c r="N120" s="126">
        <f t="shared" si="70"/>
        <v>0</v>
      </c>
      <c r="O120" s="126">
        <f t="shared" si="70"/>
        <v>0</v>
      </c>
      <c r="P120" s="126">
        <f t="shared" si="70"/>
        <v>0</v>
      </c>
      <c r="Q120" s="126">
        <f t="shared" si="70"/>
        <v>0</v>
      </c>
      <c r="R120" s="126">
        <f t="shared" si="70"/>
        <v>0</v>
      </c>
      <c r="S120" s="126">
        <f t="shared" si="70"/>
        <v>0</v>
      </c>
      <c r="T120" s="126">
        <f t="shared" si="70"/>
        <v>0</v>
      </c>
      <c r="U120" s="126">
        <f t="shared" si="70"/>
        <v>0</v>
      </c>
      <c r="V120" s="126">
        <f t="shared" si="70"/>
        <v>0</v>
      </c>
      <c r="W120" s="126">
        <f t="shared" si="70"/>
        <v>0</v>
      </c>
      <c r="X120" s="126">
        <f t="shared" si="70"/>
        <v>0</v>
      </c>
      <c r="Y120" s="126">
        <f t="shared" si="70"/>
        <v>0</v>
      </c>
      <c r="Z120" s="126">
        <f t="shared" si="70"/>
        <v>0</v>
      </c>
      <c r="AA120" s="126">
        <f t="shared" si="70"/>
        <v>0</v>
      </c>
      <c r="AB120" s="126">
        <f t="shared" si="70"/>
        <v>0</v>
      </c>
      <c r="AC120" s="126">
        <f t="shared" si="70"/>
        <v>0</v>
      </c>
      <c r="AD120" s="126">
        <f t="shared" si="70"/>
        <v>0</v>
      </c>
      <c r="AE120" s="126">
        <f t="shared" si="70"/>
        <v>0</v>
      </c>
      <c r="AF120" s="126">
        <f t="shared" si="70"/>
        <v>0</v>
      </c>
      <c r="AG120" s="126">
        <f t="shared" si="70"/>
        <v>0</v>
      </c>
      <c r="AH120" s="126">
        <f t="shared" si="70"/>
        <v>0</v>
      </c>
      <c r="AI120" s="126">
        <f t="shared" si="70"/>
        <v>0</v>
      </c>
      <c r="AJ120" s="126">
        <f t="shared" si="70"/>
        <v>0</v>
      </c>
      <c r="AK120" s="126">
        <f t="shared" si="70"/>
        <v>0</v>
      </c>
      <c r="AL120" s="126">
        <f t="shared" si="70"/>
        <v>0</v>
      </c>
      <c r="AM120" s="126">
        <f t="shared" si="70"/>
        <v>0</v>
      </c>
      <c r="AN120" s="126">
        <f t="shared" si="70"/>
        <v>0</v>
      </c>
      <c r="AO120" s="126">
        <f t="shared" si="70"/>
        <v>0</v>
      </c>
      <c r="AP120" s="126">
        <f t="shared" si="70"/>
        <v>0</v>
      </c>
      <c r="AQ120" s="126">
        <f t="shared" si="70"/>
        <v>0</v>
      </c>
      <c r="AR120" s="36"/>
    </row>
    <row r="121" spans="1:44">
      <c r="A121" s="36"/>
      <c r="B121" s="13" t="s">
        <v>83</v>
      </c>
      <c r="C121" s="126">
        <f t="shared" ref="C121:AQ121" si="71">+-(MAX(0,C54))</f>
        <v>0</v>
      </c>
      <c r="D121" s="126">
        <f t="shared" si="71"/>
        <v>0</v>
      </c>
      <c r="E121" s="126">
        <f t="shared" si="71"/>
        <v>0</v>
      </c>
      <c r="F121" s="126">
        <f t="shared" si="71"/>
        <v>0</v>
      </c>
      <c r="G121" s="126">
        <f t="shared" si="71"/>
        <v>0</v>
      </c>
      <c r="H121" s="126">
        <f t="shared" si="71"/>
        <v>0</v>
      </c>
      <c r="I121" s="126">
        <f t="shared" si="71"/>
        <v>0</v>
      </c>
      <c r="J121" s="126">
        <f t="shared" si="71"/>
        <v>0</v>
      </c>
      <c r="K121" s="126">
        <f t="shared" si="71"/>
        <v>0</v>
      </c>
      <c r="L121" s="126">
        <f t="shared" si="71"/>
        <v>0</v>
      </c>
      <c r="M121" s="126">
        <f t="shared" si="71"/>
        <v>0</v>
      </c>
      <c r="N121" s="126">
        <f t="shared" si="71"/>
        <v>0</v>
      </c>
      <c r="O121" s="126">
        <f t="shared" si="71"/>
        <v>0</v>
      </c>
      <c r="P121" s="126">
        <f t="shared" si="71"/>
        <v>0</v>
      </c>
      <c r="Q121" s="126">
        <f t="shared" si="71"/>
        <v>0</v>
      </c>
      <c r="R121" s="126">
        <f t="shared" si="71"/>
        <v>-694630.8714506937</v>
      </c>
      <c r="S121" s="126">
        <f t="shared" si="71"/>
        <v>0</v>
      </c>
      <c r="T121" s="126">
        <f t="shared" si="71"/>
        <v>0</v>
      </c>
      <c r="U121" s="126">
        <f t="shared" si="71"/>
        <v>0</v>
      </c>
      <c r="V121" s="126">
        <f t="shared" si="71"/>
        <v>0</v>
      </c>
      <c r="W121" s="126">
        <f t="shared" si="71"/>
        <v>0</v>
      </c>
      <c r="X121" s="126">
        <f t="shared" si="71"/>
        <v>0</v>
      </c>
      <c r="Y121" s="126">
        <f t="shared" si="71"/>
        <v>0</v>
      </c>
      <c r="Z121" s="126">
        <f t="shared" si="71"/>
        <v>0</v>
      </c>
      <c r="AA121" s="126">
        <f t="shared" si="71"/>
        <v>0</v>
      </c>
      <c r="AB121" s="126">
        <f t="shared" si="71"/>
        <v>0</v>
      </c>
      <c r="AC121" s="126">
        <f t="shared" si="71"/>
        <v>0</v>
      </c>
      <c r="AD121" s="126">
        <f t="shared" si="71"/>
        <v>0</v>
      </c>
      <c r="AE121" s="126">
        <f t="shared" si="71"/>
        <v>0</v>
      </c>
      <c r="AF121" s="126">
        <f t="shared" si="71"/>
        <v>0</v>
      </c>
      <c r="AG121" s="126">
        <f t="shared" si="71"/>
        <v>0</v>
      </c>
      <c r="AH121" s="126">
        <f t="shared" si="71"/>
        <v>0</v>
      </c>
      <c r="AI121" s="126">
        <f t="shared" si="71"/>
        <v>0</v>
      </c>
      <c r="AJ121" s="126">
        <f t="shared" si="71"/>
        <v>0</v>
      </c>
      <c r="AK121" s="126">
        <f t="shared" si="71"/>
        <v>0</v>
      </c>
      <c r="AL121" s="126">
        <f t="shared" si="71"/>
        <v>0</v>
      </c>
      <c r="AM121" s="126">
        <f t="shared" si="71"/>
        <v>0</v>
      </c>
      <c r="AN121" s="126">
        <f t="shared" si="71"/>
        <v>0</v>
      </c>
      <c r="AO121" s="126">
        <f t="shared" si="71"/>
        <v>0</v>
      </c>
      <c r="AP121" s="126">
        <f t="shared" si="71"/>
        <v>0</v>
      </c>
      <c r="AQ121" s="126">
        <f t="shared" si="71"/>
        <v>0</v>
      </c>
      <c r="AR121" s="36"/>
    </row>
    <row r="122" spans="1:44">
      <c r="A122" s="36"/>
      <c r="B122" s="13" t="s">
        <v>80</v>
      </c>
      <c r="C122" s="126">
        <f t="shared" ref="C122:AQ122" si="72">SUM(C119:C121)</f>
        <v>694630.8714506937</v>
      </c>
      <c r="D122" s="126">
        <f t="shared" si="72"/>
        <v>694630.8714506937</v>
      </c>
      <c r="E122" s="126">
        <f t="shared" si="72"/>
        <v>694630.8714506937</v>
      </c>
      <c r="F122" s="126">
        <f t="shared" si="72"/>
        <v>694630.8714506937</v>
      </c>
      <c r="G122" s="126">
        <f t="shared" si="72"/>
        <v>694630.8714506937</v>
      </c>
      <c r="H122" s="126">
        <f t="shared" si="72"/>
        <v>694630.8714506937</v>
      </c>
      <c r="I122" s="126">
        <f t="shared" si="72"/>
        <v>694630.8714506937</v>
      </c>
      <c r="J122" s="126">
        <f t="shared" si="72"/>
        <v>694630.8714506937</v>
      </c>
      <c r="K122" s="126">
        <f t="shared" si="72"/>
        <v>694630.8714506937</v>
      </c>
      <c r="L122" s="126">
        <f t="shared" si="72"/>
        <v>694630.8714506937</v>
      </c>
      <c r="M122" s="126">
        <f t="shared" si="72"/>
        <v>694630.8714506937</v>
      </c>
      <c r="N122" s="126">
        <f t="shared" si="72"/>
        <v>694630.8714506937</v>
      </c>
      <c r="O122" s="126">
        <f t="shared" si="72"/>
        <v>694630.8714506937</v>
      </c>
      <c r="P122" s="126">
        <f t="shared" si="72"/>
        <v>694630.8714506937</v>
      </c>
      <c r="Q122" s="126">
        <f t="shared" si="72"/>
        <v>694630.8714506937</v>
      </c>
      <c r="R122" s="126">
        <f t="shared" si="72"/>
        <v>0</v>
      </c>
      <c r="S122" s="126">
        <f t="shared" si="72"/>
        <v>0</v>
      </c>
      <c r="T122" s="126">
        <f t="shared" si="72"/>
        <v>0</v>
      </c>
      <c r="U122" s="126">
        <f t="shared" si="72"/>
        <v>0</v>
      </c>
      <c r="V122" s="126">
        <f t="shared" si="72"/>
        <v>0</v>
      </c>
      <c r="W122" s="126">
        <f t="shared" si="72"/>
        <v>0</v>
      </c>
      <c r="X122" s="126">
        <f t="shared" si="72"/>
        <v>0</v>
      </c>
      <c r="Y122" s="126">
        <f t="shared" si="72"/>
        <v>0</v>
      </c>
      <c r="Z122" s="126">
        <f t="shared" si="72"/>
        <v>0</v>
      </c>
      <c r="AA122" s="126">
        <f t="shared" si="72"/>
        <v>0</v>
      </c>
      <c r="AB122" s="126">
        <f t="shared" si="72"/>
        <v>0</v>
      </c>
      <c r="AC122" s="126">
        <f t="shared" si="72"/>
        <v>0</v>
      </c>
      <c r="AD122" s="126">
        <f t="shared" si="72"/>
        <v>0</v>
      </c>
      <c r="AE122" s="126">
        <f t="shared" si="72"/>
        <v>0</v>
      </c>
      <c r="AF122" s="126">
        <f t="shared" si="72"/>
        <v>0</v>
      </c>
      <c r="AG122" s="126">
        <f t="shared" si="72"/>
        <v>0</v>
      </c>
      <c r="AH122" s="126">
        <f t="shared" si="72"/>
        <v>0</v>
      </c>
      <c r="AI122" s="126">
        <f t="shared" si="72"/>
        <v>0</v>
      </c>
      <c r="AJ122" s="126">
        <f t="shared" si="72"/>
        <v>0</v>
      </c>
      <c r="AK122" s="126">
        <f t="shared" si="72"/>
        <v>0</v>
      </c>
      <c r="AL122" s="126">
        <f t="shared" si="72"/>
        <v>0</v>
      </c>
      <c r="AM122" s="126">
        <f t="shared" si="72"/>
        <v>0</v>
      </c>
      <c r="AN122" s="126">
        <f t="shared" si="72"/>
        <v>0</v>
      </c>
      <c r="AO122" s="126">
        <f t="shared" si="72"/>
        <v>0</v>
      </c>
      <c r="AP122" s="126">
        <f t="shared" si="72"/>
        <v>0</v>
      </c>
      <c r="AQ122" s="126">
        <f t="shared" si="72"/>
        <v>0</v>
      </c>
      <c r="AR122" s="36"/>
    </row>
    <row r="123" spans="1:44">
      <c r="A123" s="36"/>
      <c r="B123" s="13" t="s">
        <v>85</v>
      </c>
      <c r="C123" s="85">
        <f>+H22</f>
        <v>5.5E-2</v>
      </c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36"/>
    </row>
    <row r="124" spans="1:44">
      <c r="A124" s="36"/>
      <c r="B124" s="13" t="s">
        <v>94</v>
      </c>
      <c r="C124" s="126">
        <f t="shared" ref="C124:AQ124" si="73">+C119*$C$123</f>
        <v>0</v>
      </c>
      <c r="D124" s="126">
        <f t="shared" si="73"/>
        <v>38204.697929788155</v>
      </c>
      <c r="E124" s="126">
        <f t="shared" si="73"/>
        <v>38204.697929788155</v>
      </c>
      <c r="F124" s="126">
        <f t="shared" si="73"/>
        <v>38204.697929788155</v>
      </c>
      <c r="G124" s="126">
        <f t="shared" si="73"/>
        <v>38204.697929788155</v>
      </c>
      <c r="H124" s="126">
        <f t="shared" si="73"/>
        <v>38204.697929788155</v>
      </c>
      <c r="I124" s="126">
        <f t="shared" si="73"/>
        <v>38204.697929788155</v>
      </c>
      <c r="J124" s="126">
        <f t="shared" si="73"/>
        <v>38204.697929788155</v>
      </c>
      <c r="K124" s="126">
        <f t="shared" si="73"/>
        <v>38204.697929788155</v>
      </c>
      <c r="L124" s="126">
        <f t="shared" si="73"/>
        <v>38204.697929788155</v>
      </c>
      <c r="M124" s="126">
        <f t="shared" si="73"/>
        <v>38204.697929788155</v>
      </c>
      <c r="N124" s="126">
        <f t="shared" si="73"/>
        <v>38204.697929788155</v>
      </c>
      <c r="O124" s="126">
        <f t="shared" si="73"/>
        <v>38204.697929788155</v>
      </c>
      <c r="P124" s="126">
        <f t="shared" si="73"/>
        <v>38204.697929788155</v>
      </c>
      <c r="Q124" s="126">
        <f t="shared" si="73"/>
        <v>38204.697929788155</v>
      </c>
      <c r="R124" s="126">
        <f t="shared" si="73"/>
        <v>38204.697929788155</v>
      </c>
      <c r="S124" s="126">
        <f t="shared" si="73"/>
        <v>0</v>
      </c>
      <c r="T124" s="126">
        <f t="shared" si="73"/>
        <v>0</v>
      </c>
      <c r="U124" s="126">
        <f t="shared" si="73"/>
        <v>0</v>
      </c>
      <c r="V124" s="126">
        <f t="shared" si="73"/>
        <v>0</v>
      </c>
      <c r="W124" s="126">
        <f t="shared" si="73"/>
        <v>0</v>
      </c>
      <c r="X124" s="126">
        <f t="shared" si="73"/>
        <v>0</v>
      </c>
      <c r="Y124" s="126">
        <f t="shared" si="73"/>
        <v>0</v>
      </c>
      <c r="Z124" s="126">
        <f t="shared" si="73"/>
        <v>0</v>
      </c>
      <c r="AA124" s="126">
        <f t="shared" si="73"/>
        <v>0</v>
      </c>
      <c r="AB124" s="126">
        <f t="shared" si="73"/>
        <v>0</v>
      </c>
      <c r="AC124" s="126">
        <f t="shared" si="73"/>
        <v>0</v>
      </c>
      <c r="AD124" s="126">
        <f t="shared" si="73"/>
        <v>0</v>
      </c>
      <c r="AE124" s="126">
        <f t="shared" si="73"/>
        <v>0</v>
      </c>
      <c r="AF124" s="126">
        <f t="shared" si="73"/>
        <v>0</v>
      </c>
      <c r="AG124" s="126">
        <f t="shared" si="73"/>
        <v>0</v>
      </c>
      <c r="AH124" s="126">
        <f t="shared" si="73"/>
        <v>0</v>
      </c>
      <c r="AI124" s="126">
        <f t="shared" si="73"/>
        <v>0</v>
      </c>
      <c r="AJ124" s="126">
        <f t="shared" si="73"/>
        <v>0</v>
      </c>
      <c r="AK124" s="126">
        <f t="shared" si="73"/>
        <v>0</v>
      </c>
      <c r="AL124" s="126">
        <f t="shared" si="73"/>
        <v>0</v>
      </c>
      <c r="AM124" s="126">
        <f t="shared" si="73"/>
        <v>0</v>
      </c>
      <c r="AN124" s="126">
        <f t="shared" si="73"/>
        <v>0</v>
      </c>
      <c r="AO124" s="126">
        <f t="shared" si="73"/>
        <v>0</v>
      </c>
      <c r="AP124" s="126">
        <f t="shared" si="73"/>
        <v>0</v>
      </c>
      <c r="AQ124" s="126">
        <f t="shared" si="73"/>
        <v>0</v>
      </c>
      <c r="AR124" s="36"/>
    </row>
    <row r="125" spans="1:44">
      <c r="A125" s="36"/>
      <c r="B125" s="70"/>
      <c r="C125" s="71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36"/>
    </row>
    <row r="126" spans="1:44">
      <c r="A126" s="36"/>
      <c r="B126" s="131" t="s">
        <v>95</v>
      </c>
      <c r="C126" s="132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3"/>
      <c r="AM126" s="133"/>
      <c r="AN126" s="133"/>
      <c r="AO126" s="133"/>
      <c r="AP126" s="133"/>
      <c r="AQ126" s="133"/>
      <c r="AR126" s="36"/>
    </row>
    <row r="127" spans="1:44">
      <c r="A127" s="36"/>
      <c r="B127" s="134" t="s">
        <v>96</v>
      </c>
      <c r="C127" s="135">
        <f>SUM(D95:AQ95)</f>
        <v>10709260.097329384</v>
      </c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  <c r="AE127" s="133"/>
      <c r="AF127" s="133"/>
      <c r="AG127" s="133"/>
      <c r="AH127" s="133"/>
      <c r="AI127" s="133"/>
      <c r="AJ127" s="133"/>
      <c r="AK127" s="133"/>
      <c r="AL127" s="133"/>
      <c r="AM127" s="133"/>
      <c r="AN127" s="133"/>
      <c r="AO127" s="133"/>
      <c r="AP127" s="133"/>
      <c r="AQ127" s="133"/>
      <c r="AR127" s="36"/>
    </row>
    <row r="128" spans="1:44">
      <c r="A128" s="36"/>
      <c r="B128" s="136" t="s">
        <v>92</v>
      </c>
      <c r="C128" s="137">
        <f>[1]Dashboard!H25</f>
        <v>1.4</v>
      </c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  <c r="AA128" s="133"/>
      <c r="AB128" s="133"/>
      <c r="AC128" s="133"/>
      <c r="AD128" s="133"/>
      <c r="AE128" s="133"/>
      <c r="AF128" s="133"/>
      <c r="AG128" s="133"/>
      <c r="AH128" s="133"/>
      <c r="AI128" s="133"/>
      <c r="AJ128" s="133"/>
      <c r="AK128" s="133"/>
      <c r="AL128" s="133"/>
      <c r="AM128" s="133"/>
      <c r="AN128" s="133"/>
      <c r="AO128" s="133"/>
      <c r="AP128" s="133"/>
      <c r="AQ128" s="133"/>
      <c r="AR128" s="36"/>
    </row>
    <row r="129" spans="1:44">
      <c r="A129" s="36"/>
      <c r="B129" s="136" t="s">
        <v>97</v>
      </c>
      <c r="C129" s="138">
        <f>C128*C127</f>
        <v>14992964.136261135</v>
      </c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  <c r="AA129" s="133"/>
      <c r="AB129" s="133"/>
      <c r="AC129" s="133"/>
      <c r="AD129" s="133"/>
      <c r="AE129" s="133"/>
      <c r="AF129" s="133"/>
      <c r="AG129" s="133"/>
      <c r="AH129" s="133"/>
      <c r="AI129" s="133"/>
      <c r="AJ129" s="133"/>
      <c r="AK129" s="133"/>
      <c r="AL129" s="133"/>
      <c r="AM129" s="133"/>
      <c r="AN129" s="133"/>
      <c r="AO129" s="133"/>
      <c r="AP129" s="133"/>
      <c r="AQ129" s="133"/>
      <c r="AR129" s="36"/>
    </row>
    <row r="130" spans="1:44">
      <c r="A130" s="36"/>
      <c r="B130" s="136" t="s">
        <v>98</v>
      </c>
      <c r="C130" s="138">
        <f>SUMPRODUCT(D50:AQ50, D93:AQ93)</f>
        <v>18385257.994955927</v>
      </c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  <c r="AA130" s="133"/>
      <c r="AB130" s="133"/>
      <c r="AC130" s="133"/>
      <c r="AD130" s="133"/>
      <c r="AE130" s="133"/>
      <c r="AF130" s="133"/>
      <c r="AG130" s="133"/>
      <c r="AH130" s="133"/>
      <c r="AI130" s="133"/>
      <c r="AJ130" s="133"/>
      <c r="AK130" s="133"/>
      <c r="AL130" s="133"/>
      <c r="AM130" s="133"/>
      <c r="AN130" s="133"/>
      <c r="AO130" s="133"/>
      <c r="AP130" s="133"/>
      <c r="AQ130" s="133"/>
      <c r="AR130" s="36"/>
    </row>
    <row r="131" spans="1:44">
      <c r="A131" s="36"/>
      <c r="B131" s="139" t="s">
        <v>99</v>
      </c>
      <c r="C131" s="140">
        <f>C130-C129</f>
        <v>3392293.8586947918</v>
      </c>
      <c r="D131" s="133"/>
      <c r="E131" s="133"/>
      <c r="F131" s="133"/>
      <c r="G131" s="133"/>
      <c r="H131" s="133"/>
      <c r="I131" s="133"/>
      <c r="J131" s="133"/>
      <c r="K131" s="133"/>
      <c r="L131" s="133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  <c r="AA131" s="133"/>
      <c r="AB131" s="133"/>
      <c r="AC131" s="133"/>
      <c r="AD131" s="133"/>
      <c r="AE131" s="133"/>
      <c r="AF131" s="133"/>
      <c r="AG131" s="133"/>
      <c r="AH131" s="133"/>
      <c r="AI131" s="133"/>
      <c r="AJ131" s="133"/>
      <c r="AK131" s="133"/>
      <c r="AL131" s="133"/>
      <c r="AM131" s="133"/>
      <c r="AN131" s="133"/>
      <c r="AO131" s="133"/>
      <c r="AP131" s="133"/>
      <c r="AQ131" s="133"/>
      <c r="AR131" s="36"/>
    </row>
    <row r="132" spans="1:44">
      <c r="A132" s="36"/>
      <c r="B132" s="141"/>
      <c r="C132" s="142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133"/>
      <c r="AB132" s="133"/>
      <c r="AC132" s="133"/>
      <c r="AD132" s="133"/>
      <c r="AE132" s="133"/>
      <c r="AF132" s="133"/>
      <c r="AG132" s="133"/>
      <c r="AH132" s="133"/>
      <c r="AI132" s="133"/>
      <c r="AJ132" s="133"/>
      <c r="AK132" s="133"/>
      <c r="AL132" s="133"/>
      <c r="AM132" s="133"/>
      <c r="AN132" s="133"/>
      <c r="AO132" s="133"/>
      <c r="AP132" s="133"/>
      <c r="AQ132" s="133"/>
      <c r="AR132" s="36"/>
    </row>
    <row r="133" spans="1:44">
      <c r="A133" s="36"/>
      <c r="B133" s="143" t="s">
        <v>100</v>
      </c>
      <c r="C133" s="144" t="s">
        <v>101</v>
      </c>
      <c r="D133" s="8">
        <v>1</v>
      </c>
      <c r="E133" s="8">
        <v>2</v>
      </c>
      <c r="F133" s="8">
        <v>3</v>
      </c>
      <c r="G133" s="8">
        <v>4</v>
      </c>
      <c r="H133" s="8">
        <v>5</v>
      </c>
      <c r="I133" s="8">
        <v>6</v>
      </c>
      <c r="J133" s="8">
        <v>7</v>
      </c>
      <c r="K133" s="8">
        <v>8</v>
      </c>
      <c r="L133" s="8">
        <v>9</v>
      </c>
      <c r="M133" s="8">
        <v>10</v>
      </c>
      <c r="N133" s="8">
        <v>11</v>
      </c>
      <c r="O133" s="8">
        <v>12</v>
      </c>
      <c r="P133" s="8">
        <v>13</v>
      </c>
      <c r="Q133" s="8">
        <v>14</v>
      </c>
      <c r="R133" s="8">
        <v>15</v>
      </c>
      <c r="S133" s="8">
        <v>16</v>
      </c>
      <c r="T133" s="8">
        <v>17</v>
      </c>
      <c r="U133" s="8">
        <v>18</v>
      </c>
      <c r="V133" s="8">
        <v>19</v>
      </c>
      <c r="W133" s="8">
        <v>20</v>
      </c>
      <c r="X133" s="8">
        <v>21</v>
      </c>
      <c r="Y133" s="8">
        <v>22</v>
      </c>
      <c r="Z133" s="8">
        <v>23</v>
      </c>
      <c r="AA133" s="8">
        <v>24</v>
      </c>
      <c r="AB133" s="8">
        <v>25</v>
      </c>
      <c r="AC133" s="8">
        <v>26</v>
      </c>
      <c r="AD133" s="8">
        <v>27</v>
      </c>
      <c r="AE133" s="8">
        <v>28</v>
      </c>
      <c r="AF133" s="8">
        <v>29</v>
      </c>
      <c r="AG133" s="8">
        <v>30</v>
      </c>
      <c r="AH133" s="8">
        <v>31</v>
      </c>
      <c r="AI133" s="8">
        <v>32</v>
      </c>
      <c r="AJ133" s="8">
        <v>33</v>
      </c>
      <c r="AK133" s="8">
        <v>34</v>
      </c>
      <c r="AL133" s="8">
        <v>35</v>
      </c>
      <c r="AM133" s="8">
        <v>36</v>
      </c>
      <c r="AN133" s="8">
        <v>37</v>
      </c>
      <c r="AO133" s="8">
        <v>38</v>
      </c>
      <c r="AP133" s="8">
        <v>39</v>
      </c>
      <c r="AQ133" s="8">
        <v>40</v>
      </c>
      <c r="AR133" s="36"/>
    </row>
    <row r="134" spans="1:44">
      <c r="A134" s="36"/>
      <c r="B134" s="36"/>
      <c r="C134" s="36">
        <v>0</v>
      </c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</row>
    <row r="135" spans="1:44">
      <c r="A135" s="36"/>
      <c r="C135" s="36">
        <v>3</v>
      </c>
      <c r="D135" s="85">
        <v>0.33329999999999999</v>
      </c>
      <c r="E135" s="85">
        <v>0.44450000000000001</v>
      </c>
      <c r="F135" s="85">
        <v>0.14810000000000001</v>
      </c>
      <c r="G135" s="85">
        <v>7.4099999999999999E-2</v>
      </c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AR135" s="36"/>
    </row>
    <row r="136" spans="1:44">
      <c r="A136" s="36"/>
      <c r="C136">
        <v>5</v>
      </c>
      <c r="D136" s="85">
        <v>0.2</v>
      </c>
      <c r="E136" s="85">
        <v>0.32</v>
      </c>
      <c r="F136" s="85">
        <v>0.192</v>
      </c>
      <c r="G136" s="85">
        <v>0.1152</v>
      </c>
      <c r="H136" s="85">
        <v>0.1152</v>
      </c>
      <c r="I136" s="85">
        <v>5.7599999999999998E-2</v>
      </c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</row>
    <row r="137" spans="1:44">
      <c r="A137" s="36"/>
      <c r="C137">
        <v>7</v>
      </c>
      <c r="D137" s="85">
        <v>0.1429</v>
      </c>
      <c r="E137" s="85">
        <v>0.24489999999999998</v>
      </c>
      <c r="F137" s="85">
        <v>0.17489999999999997</v>
      </c>
      <c r="G137" s="85">
        <v>0.1249</v>
      </c>
      <c r="H137" s="85">
        <v>8.9300000000000004E-2</v>
      </c>
      <c r="I137" s="85">
        <v>8.9200000000000002E-2</v>
      </c>
      <c r="J137" s="85">
        <v>8.929999999999999E-2</v>
      </c>
      <c r="K137" s="85">
        <v>4.4600000000000001E-2</v>
      </c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</row>
    <row r="138" spans="1:44">
      <c r="C138">
        <v>10</v>
      </c>
      <c r="D138" s="85">
        <v>0.1</v>
      </c>
      <c r="E138" s="85">
        <v>0.18</v>
      </c>
      <c r="F138" s="85">
        <v>0.14400000000000002</v>
      </c>
      <c r="G138" s="85">
        <v>0.1152</v>
      </c>
      <c r="H138" s="85">
        <v>9.2200000000000004E-2</v>
      </c>
      <c r="I138" s="85">
        <v>7.3700000000000002E-2</v>
      </c>
      <c r="J138" s="85">
        <v>6.5500000000000003E-2</v>
      </c>
      <c r="K138" s="85">
        <v>6.5500000000000003E-2</v>
      </c>
      <c r="L138" s="85">
        <v>6.5599999999999992E-2</v>
      </c>
      <c r="M138" s="85">
        <v>6.5500000000000003E-2</v>
      </c>
      <c r="N138" s="85">
        <v>3.2799999999999996E-2</v>
      </c>
      <c r="O138" s="85"/>
      <c r="P138" s="85"/>
      <c r="Q138" s="85"/>
      <c r="R138" s="85"/>
      <c r="S138" s="85"/>
      <c r="T138" s="85"/>
      <c r="U138" s="85"/>
      <c r="V138" s="85"/>
      <c r="W138" s="85"/>
      <c r="X138" s="85"/>
    </row>
    <row r="139" spans="1:44">
      <c r="C139">
        <v>15</v>
      </c>
      <c r="D139" s="85">
        <v>0.05</v>
      </c>
      <c r="E139" s="85">
        <v>9.5000000000000001E-2</v>
      </c>
      <c r="F139" s="85">
        <v>8.5500000000000007E-2</v>
      </c>
      <c r="G139" s="85">
        <v>7.6999999999999999E-2</v>
      </c>
      <c r="H139" s="85">
        <v>6.93E-2</v>
      </c>
      <c r="I139" s="85">
        <v>6.2300000000000001E-2</v>
      </c>
      <c r="J139" s="85">
        <v>5.8999999999999997E-2</v>
      </c>
      <c r="K139" s="85">
        <v>5.9000000000000004E-2</v>
      </c>
      <c r="L139" s="85">
        <v>5.91E-2</v>
      </c>
      <c r="M139" s="85">
        <v>5.9000000000000004E-2</v>
      </c>
      <c r="N139" s="85">
        <v>5.91E-2</v>
      </c>
      <c r="O139" s="85">
        <v>5.9000000000000004E-2</v>
      </c>
      <c r="P139" s="85">
        <v>5.91E-2</v>
      </c>
      <c r="Q139" s="85">
        <v>5.9000000000000004E-2</v>
      </c>
      <c r="R139" s="85">
        <v>5.91E-2</v>
      </c>
      <c r="S139" s="85">
        <v>2.9500000000000002E-2</v>
      </c>
      <c r="T139" s="85"/>
      <c r="U139" s="85"/>
      <c r="V139" s="85"/>
      <c r="W139" s="85"/>
      <c r="X139" s="85"/>
    </row>
    <row r="140" spans="1:44">
      <c r="C140">
        <v>20</v>
      </c>
      <c r="D140" s="85">
        <v>3.7499999999999999E-2</v>
      </c>
      <c r="E140" s="85">
        <v>7.2190000000000004E-2</v>
      </c>
      <c r="F140" s="85">
        <v>6.6769999999999996E-2</v>
      </c>
      <c r="G140" s="85">
        <v>6.1769999999999999E-2</v>
      </c>
      <c r="H140" s="85">
        <v>5.713E-2</v>
      </c>
      <c r="I140" s="85">
        <v>5.2850000000000001E-2</v>
      </c>
      <c r="J140" s="85">
        <v>4.888E-2</v>
      </c>
      <c r="K140" s="85">
        <v>4.5220000000000003E-2</v>
      </c>
      <c r="L140" s="85">
        <v>4.462E-2</v>
      </c>
      <c r="M140" s="85">
        <v>4.4610000000000004E-2</v>
      </c>
      <c r="N140" s="85">
        <v>4.462E-2</v>
      </c>
      <c r="O140" s="85">
        <v>4.4610000000000004E-2</v>
      </c>
      <c r="P140" s="85">
        <v>4.462E-2</v>
      </c>
      <c r="Q140" s="85">
        <v>4.4610000000000004E-2</v>
      </c>
      <c r="R140" s="85">
        <v>4.462E-2</v>
      </c>
      <c r="S140" s="85">
        <v>4.4610000000000004E-2</v>
      </c>
      <c r="T140" s="85">
        <v>4.462E-2</v>
      </c>
      <c r="U140" s="85">
        <v>4.4610000000000004E-2</v>
      </c>
      <c r="V140" s="85">
        <v>4.462E-2</v>
      </c>
      <c r="W140" s="85">
        <v>4.4610000000000004E-2</v>
      </c>
      <c r="X140" s="85">
        <v>2.231E-2</v>
      </c>
    </row>
    <row r="141" spans="1:44">
      <c r="C141" s="115" t="s">
        <v>102</v>
      </c>
      <c r="D141" s="1">
        <f>50%+50%*D136</f>
        <v>0.6</v>
      </c>
      <c r="E141" s="2">
        <f>50%*E136</f>
        <v>0.16</v>
      </c>
      <c r="F141" s="2">
        <f>50%*F136</f>
        <v>9.6000000000000002E-2</v>
      </c>
      <c r="G141" s="2">
        <f>50%*G136</f>
        <v>5.7599999999999998E-2</v>
      </c>
      <c r="H141" s="2">
        <f>50%*H136</f>
        <v>5.7599999999999998E-2</v>
      </c>
      <c r="I141" s="2">
        <f>50%*I136</f>
        <v>2.8799999999999999E-2</v>
      </c>
    </row>
    <row r="143" spans="1:44">
      <c r="A143" s="36"/>
      <c r="B143" s="143" t="s">
        <v>105</v>
      </c>
      <c r="C143" s="144" t="s">
        <v>101</v>
      </c>
      <c r="D143" s="8">
        <v>1</v>
      </c>
      <c r="E143" s="8">
        <v>2</v>
      </c>
      <c r="F143" s="8">
        <v>3</v>
      </c>
      <c r="G143" s="8">
        <v>4</v>
      </c>
      <c r="H143" s="8">
        <v>5</v>
      </c>
      <c r="I143" s="8">
        <v>6</v>
      </c>
      <c r="J143" s="8">
        <v>7</v>
      </c>
      <c r="K143" s="8">
        <v>8</v>
      </c>
      <c r="L143" s="8">
        <v>9</v>
      </c>
      <c r="M143" s="8">
        <v>10</v>
      </c>
      <c r="N143" s="8">
        <v>11</v>
      </c>
      <c r="O143" s="8">
        <v>12</v>
      </c>
      <c r="P143" s="8">
        <v>13</v>
      </c>
      <c r="Q143" s="8">
        <v>14</v>
      </c>
      <c r="R143" s="8">
        <v>15</v>
      </c>
      <c r="S143" s="8">
        <v>16</v>
      </c>
      <c r="T143" s="8">
        <v>17</v>
      </c>
      <c r="U143" s="8">
        <v>18</v>
      </c>
      <c r="V143" s="8">
        <v>19</v>
      </c>
      <c r="W143" s="8">
        <v>20</v>
      </c>
      <c r="X143" s="8">
        <v>21</v>
      </c>
      <c r="Y143" s="8">
        <v>22</v>
      </c>
      <c r="Z143" s="8">
        <v>23</v>
      </c>
      <c r="AA143" s="8">
        <v>24</v>
      </c>
      <c r="AB143" s="8">
        <v>25</v>
      </c>
      <c r="AC143" s="8">
        <v>26</v>
      </c>
      <c r="AD143" s="8">
        <v>27</v>
      </c>
      <c r="AE143" s="8">
        <v>28</v>
      </c>
      <c r="AF143" s="8">
        <v>29</v>
      </c>
      <c r="AG143" s="8">
        <v>30</v>
      </c>
      <c r="AH143" s="8">
        <v>31</v>
      </c>
      <c r="AI143" s="8">
        <v>32</v>
      </c>
      <c r="AJ143" s="8">
        <v>33</v>
      </c>
      <c r="AK143" s="8">
        <v>34</v>
      </c>
      <c r="AL143" s="8">
        <v>35</v>
      </c>
      <c r="AM143" s="8">
        <v>36</v>
      </c>
      <c r="AN143" s="8">
        <v>37</v>
      </c>
      <c r="AO143" s="8">
        <v>38</v>
      </c>
      <c r="AP143" s="8">
        <v>39</v>
      </c>
      <c r="AQ143" s="8">
        <v>40</v>
      </c>
      <c r="AR143" s="36"/>
    </row>
    <row r="144" spans="1:44" s="171" customFormat="1">
      <c r="B144" s="171" t="s">
        <v>106</v>
      </c>
      <c r="D144" s="172">
        <f>$C$28</f>
        <v>200</v>
      </c>
      <c r="E144" s="173">
        <f>IF($C$17&gt;=E133,$C$28*(1-$C$29)^(E133),0)</f>
        <v>192.07999999999998</v>
      </c>
      <c r="F144" s="173">
        <f t="shared" ref="F144:R144" si="74">IF($C$17&gt;=F133,$C$28*(1-$C$29)^(F133),0)</f>
        <v>188.23839999999998</v>
      </c>
      <c r="G144" s="173">
        <f t="shared" si="74"/>
        <v>184.47363199999998</v>
      </c>
      <c r="H144" s="173">
        <f t="shared" si="74"/>
        <v>180.78415935999996</v>
      </c>
      <c r="I144" s="173">
        <f t="shared" si="74"/>
        <v>177.16847617279996</v>
      </c>
      <c r="J144" s="173">
        <f t="shared" si="74"/>
        <v>173.62510664934396</v>
      </c>
      <c r="K144" s="173">
        <f t="shared" si="74"/>
        <v>170.15260451635709</v>
      </c>
      <c r="L144" s="173">
        <f t="shared" si="74"/>
        <v>166.74955242602994</v>
      </c>
      <c r="M144" s="173">
        <f t="shared" si="74"/>
        <v>163.4145613775093</v>
      </c>
      <c r="N144" s="173">
        <f t="shared" si="74"/>
        <v>160.14627014995912</v>
      </c>
      <c r="O144" s="173">
        <f t="shared" si="74"/>
        <v>156.94334474695995</v>
      </c>
      <c r="P144" s="173">
        <f t="shared" si="74"/>
        <v>153.80447785202074</v>
      </c>
      <c r="Q144" s="173">
        <f t="shared" si="74"/>
        <v>150.72838829498033</v>
      </c>
      <c r="R144" s="173">
        <f t="shared" si="74"/>
        <v>147.71382052908072</v>
      </c>
      <c r="S144" s="171">
        <v>0</v>
      </c>
      <c r="T144" s="171">
        <v>0</v>
      </c>
      <c r="U144" s="171">
        <v>0</v>
      </c>
      <c r="V144" s="171">
        <v>0</v>
      </c>
      <c r="W144" s="171">
        <v>0</v>
      </c>
      <c r="X144" s="171">
        <v>0</v>
      </c>
      <c r="Y144" s="171">
        <v>0</v>
      </c>
      <c r="Z144" s="171">
        <v>0</v>
      </c>
      <c r="AA144" s="171">
        <v>0</v>
      </c>
      <c r="AB144" s="171">
        <v>0</v>
      </c>
    </row>
    <row r="145" spans="2:18">
      <c r="B145" t="s">
        <v>108</v>
      </c>
      <c r="D145" s="147">
        <f>D37</f>
        <v>7846.9452000000001</v>
      </c>
      <c r="E145" s="147">
        <f t="shared" ref="E145:R145" si="75">E37</f>
        <v>7788.0931110000001</v>
      </c>
      <c r="F145" s="147">
        <f t="shared" si="75"/>
        <v>7729.6824126675001</v>
      </c>
      <c r="G145" s="147">
        <f t="shared" si="75"/>
        <v>7671.7097945724945</v>
      </c>
      <c r="H145" s="147">
        <f t="shared" si="75"/>
        <v>7614.1719711132009</v>
      </c>
      <c r="I145" s="147">
        <f t="shared" si="75"/>
        <v>7557.0656813298519</v>
      </c>
      <c r="J145" s="147">
        <f t="shared" si="75"/>
        <v>7500.3876887198785</v>
      </c>
      <c r="K145" s="147">
        <f t="shared" si="75"/>
        <v>7444.1347810544794</v>
      </c>
      <c r="L145" s="147">
        <f t="shared" si="75"/>
        <v>7388.3037701965713</v>
      </c>
      <c r="M145" s="147">
        <f t="shared" si="75"/>
        <v>7332.891491920097</v>
      </c>
      <c r="N145" s="147">
        <f t="shared" si="75"/>
        <v>7277.894805730697</v>
      </c>
      <c r="O145" s="147">
        <f t="shared" si="75"/>
        <v>7223.3105946877167</v>
      </c>
      <c r="P145" s="147">
        <f t="shared" si="75"/>
        <v>7169.1357652275592</v>
      </c>
      <c r="Q145" s="147">
        <f t="shared" si="75"/>
        <v>7115.3672469883531</v>
      </c>
      <c r="R145" s="147">
        <f t="shared" si="75"/>
        <v>7062.001992635941</v>
      </c>
    </row>
    <row r="146" spans="2:18">
      <c r="B146" t="s">
        <v>109</v>
      </c>
      <c r="D146" s="114">
        <f t="shared" ref="D146:R146" si="76">D145*D144</f>
        <v>1569389.04</v>
      </c>
      <c r="E146" s="114">
        <f t="shared" si="76"/>
        <v>1495936.9247608799</v>
      </c>
      <c r="F146" s="114">
        <f t="shared" si="76"/>
        <v>1455023.0498686698</v>
      </c>
      <c r="G146" s="114">
        <f t="shared" si="76"/>
        <v>1415228.1694547618</v>
      </c>
      <c r="H146" s="114">
        <f t="shared" si="76"/>
        <v>1376521.6790201738</v>
      </c>
      <c r="I146" s="114">
        <f t="shared" si="76"/>
        <v>1338873.8110989721</v>
      </c>
      <c r="J146" s="114">
        <f t="shared" si="76"/>
        <v>1302255.6123654153</v>
      </c>
      <c r="K146" s="114">
        <f t="shared" si="76"/>
        <v>1266638.9213672213</v>
      </c>
      <c r="L146" s="114">
        <f t="shared" si="76"/>
        <v>1231996.3468678277</v>
      </c>
      <c r="M146" s="114">
        <f t="shared" si="76"/>
        <v>1198301.2467809925</v>
      </c>
      <c r="N146" s="114">
        <f t="shared" si="76"/>
        <v>1165527.7076815325</v>
      </c>
      <c r="O146" s="114">
        <f t="shared" si="76"/>
        <v>1133650.5248764427</v>
      </c>
      <c r="P146" s="114">
        <f t="shared" si="76"/>
        <v>1102645.1830210718</v>
      </c>
      <c r="Q146" s="114">
        <f t="shared" si="76"/>
        <v>1072487.8372654456</v>
      </c>
      <c r="R146" s="114">
        <f t="shared" si="76"/>
        <v>1043155.2949162358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Definitions and Notes</vt:lpstr>
      <vt:lpstr>Inputs and Outputs</vt:lpstr>
      <vt:lpstr>ProForma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Stanek</dc:creator>
  <cp:lastModifiedBy>lab</cp:lastModifiedBy>
  <dcterms:created xsi:type="dcterms:W3CDTF">2010-11-21T02:43:10Z</dcterms:created>
  <dcterms:modified xsi:type="dcterms:W3CDTF">2011-01-03T16:43:16Z</dcterms:modified>
</cp:coreProperties>
</file>